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945"/>
  </bookViews>
  <sheets>
    <sheet name="Cálculos" sheetId="1" r:id="rId1"/>
    <sheet name="Recibo" sheetId="2" r:id="rId2"/>
    <sheet name="Tabelas Ret.IRS" sheetId="4" r:id="rId3"/>
    <sheet name="Tx.Contributiva Seg.Social" sheetId="5" r:id="rId4"/>
  </sheets>
  <definedNames>
    <definedName name="_xlnm.Print_Area" localSheetId="0">Cálculos!$B$1:$N$100</definedName>
    <definedName name="_xlnm.Print_Area" localSheetId="3">'Tx.Contributiva Seg.Social'!$B$2:$D$22</definedName>
  </definedNames>
  <calcPr calcId="125725"/>
</workbook>
</file>

<file path=xl/calcChain.xml><?xml version="1.0" encoding="utf-8"?>
<calcChain xmlns="http://schemas.openxmlformats.org/spreadsheetml/2006/main">
  <c r="C71" i="1"/>
  <c r="D44"/>
  <c r="K62"/>
  <c r="M24"/>
  <c r="K24"/>
  <c r="I24"/>
  <c r="G54"/>
  <c r="D22"/>
  <c r="H42"/>
  <c r="M26" l="1"/>
  <c r="I36"/>
  <c r="J23"/>
  <c r="F25"/>
  <c r="C99"/>
  <c r="C27" i="2" s="1"/>
  <c r="C72" s="1"/>
  <c r="C98" i="1"/>
  <c r="C82"/>
  <c r="L84" s="1"/>
  <c r="XEK77"/>
  <c r="XEJ77"/>
  <c r="XEI77"/>
  <c r="XEK76"/>
  <c r="XEJ76"/>
  <c r="XEI76"/>
  <c r="XEK75"/>
  <c r="XEJ75"/>
  <c r="XEI75"/>
  <c r="XEK74"/>
  <c r="XEJ74"/>
  <c r="XEI74"/>
  <c r="XEK73"/>
  <c r="XEJ73"/>
  <c r="XEI73"/>
  <c r="XEK72"/>
  <c r="XEJ72"/>
  <c r="XEI72"/>
  <c r="XEK71"/>
  <c r="XEJ71"/>
  <c r="XEI71"/>
  <c r="XEK70"/>
  <c r="XEJ70"/>
  <c r="XEI70"/>
  <c r="XEK69"/>
  <c r="XEJ69"/>
  <c r="XEI69"/>
  <c r="XEK68"/>
  <c r="XEJ68"/>
  <c r="XEI68"/>
  <c r="XEK67"/>
  <c r="XEJ67"/>
  <c r="XEI67"/>
  <c r="D45" l="1"/>
  <c r="I73"/>
  <c r="C73"/>
  <c r="J74"/>
  <c r="L75"/>
  <c r="F73"/>
  <c r="F74" s="1"/>
  <c r="L73"/>
  <c r="I43"/>
  <c r="F44"/>
  <c r="L42"/>
  <c r="K55"/>
  <c r="G56"/>
  <c r="C40"/>
  <c r="C38"/>
  <c r="C27"/>
  <c r="AN61" i="2"/>
  <c r="AC61"/>
  <c r="V78"/>
  <c r="V77"/>
  <c r="V76"/>
  <c r="V75"/>
  <c r="V74"/>
  <c r="V73"/>
  <c r="S73"/>
  <c r="AA68"/>
  <c r="AA67"/>
  <c r="AA79" s="1"/>
  <c r="AL62"/>
  <c r="AC62"/>
  <c r="AL61"/>
  <c r="AB61"/>
  <c r="AK60"/>
  <c r="AB60"/>
  <c r="AL59"/>
  <c r="AB59"/>
  <c r="AL58"/>
  <c r="AC58"/>
  <c r="AK57"/>
  <c r="AA57"/>
  <c r="AB56"/>
  <c r="F51"/>
  <c r="O50"/>
  <c r="J42"/>
  <c r="J87" s="1"/>
  <c r="AA34"/>
  <c r="AA40"/>
  <c r="AA85" s="1"/>
  <c r="F90" i="1"/>
  <c r="C21" i="2"/>
  <c r="C66" s="1"/>
  <c r="C25"/>
  <c r="C70" s="1"/>
  <c r="C24"/>
  <c r="C69" s="1"/>
  <c r="C23"/>
  <c r="C68" s="1"/>
  <c r="C22"/>
  <c r="C67" s="1"/>
  <c r="AC11"/>
  <c r="AA8"/>
  <c r="AA53" s="1"/>
  <c r="X8"/>
  <c r="X53" s="1"/>
  <c r="X7"/>
  <c r="X52" s="1"/>
  <c r="AJ5"/>
  <c r="AJ50" s="1"/>
  <c r="X6"/>
  <c r="X51" s="1"/>
  <c r="D73" i="1" l="1"/>
  <c r="C46"/>
  <c r="F46"/>
  <c r="H46"/>
  <c r="L27"/>
  <c r="M27"/>
  <c r="F7" i="2"/>
  <c r="F52" s="1"/>
  <c r="F8"/>
  <c r="F53" s="1"/>
  <c r="G12"/>
  <c r="G57" s="1"/>
  <c r="G11"/>
  <c r="G56" s="1"/>
  <c r="G10"/>
  <c r="G55" s="1"/>
  <c r="O8"/>
  <c r="O53" s="1"/>
  <c r="O7"/>
  <c r="O52" s="1"/>
  <c r="O6"/>
  <c r="O51" s="1"/>
  <c r="E6"/>
  <c r="J73" i="1" l="1"/>
  <c r="D99" s="1"/>
  <c r="XEI25"/>
  <c r="XEJ25"/>
  <c r="XEK25"/>
  <c r="XEI26"/>
  <c r="XEJ26"/>
  <c r="XEK26"/>
  <c r="XEI27"/>
  <c r="XEJ27"/>
  <c r="XEK27"/>
  <c r="XEI28"/>
  <c r="XEJ28"/>
  <c r="XEK28"/>
  <c r="XEI29"/>
  <c r="XEJ29"/>
  <c r="XEK29"/>
  <c r="XEI78"/>
  <c r="XEJ78"/>
  <c r="XEK78"/>
  <c r="XEI79"/>
  <c r="XEJ79"/>
  <c r="XEK79"/>
  <c r="XEI80"/>
  <c r="XEJ80"/>
  <c r="XEK80"/>
  <c r="XEI81"/>
  <c r="XEJ81"/>
  <c r="XEK81"/>
  <c r="XEI82"/>
  <c r="XEJ82"/>
  <c r="XEK82"/>
  <c r="XEI83"/>
  <c r="XEJ83"/>
  <c r="XEK83"/>
  <c r="XEI84"/>
  <c r="XEJ84"/>
  <c r="XEK84"/>
  <c r="XEI85"/>
  <c r="XEJ85"/>
  <c r="XEK85"/>
  <c r="XEI86"/>
  <c r="XEJ86"/>
  <c r="XEK86"/>
  <c r="XEI87"/>
  <c r="XEJ87"/>
  <c r="XEK87"/>
  <c r="XEI88"/>
  <c r="XEJ88"/>
  <c r="XEK88"/>
  <c r="XEK24"/>
  <c r="XEJ24"/>
  <c r="XEI24"/>
  <c r="S27" i="2" l="1"/>
  <c r="S72" s="1"/>
  <c r="D98" i="1"/>
  <c r="B242" i="4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M5" i="1"/>
  <c r="D95"/>
  <c r="S23" i="2" s="1"/>
  <c r="S68" s="1"/>
  <c r="G65" i="1"/>
  <c r="I63"/>
  <c r="G63"/>
  <c r="F62"/>
  <c r="D96"/>
  <c r="J62"/>
  <c r="H64"/>
  <c r="F64"/>
  <c r="H62"/>
  <c r="J64"/>
  <c r="D94"/>
  <c r="J55"/>
  <c r="K56" s="1"/>
  <c r="J53"/>
  <c r="F55"/>
  <c r="F53"/>
  <c r="M21"/>
  <c r="M19"/>
  <c r="G22"/>
  <c r="C26" i="2" l="1"/>
  <c r="C71" s="1"/>
  <c r="C84" i="1"/>
  <c r="M82"/>
  <c r="L82"/>
  <c r="M84"/>
  <c r="I64"/>
  <c r="D84"/>
  <c r="F96"/>
  <c r="S24" i="2"/>
  <c r="S22"/>
  <c r="S67" s="1"/>
  <c r="K21" i="1"/>
  <c r="AK11" i="2"/>
  <c r="AK56" s="1"/>
  <c r="AJ10"/>
  <c r="M62" i="1"/>
  <c r="G96" s="1"/>
  <c r="L62"/>
  <c r="M73" l="1"/>
  <c r="K53"/>
  <c r="G94" s="1"/>
  <c r="J94" s="1"/>
  <c r="M94" s="1"/>
  <c r="F94"/>
  <c r="I65"/>
  <c r="K64"/>
  <c r="M64" s="1"/>
  <c r="G97" s="1"/>
  <c r="F99"/>
  <c r="I46"/>
  <c r="D86"/>
  <c r="F84"/>
  <c r="H86"/>
  <c r="C86"/>
  <c r="F95"/>
  <c r="G95"/>
  <c r="V24" i="2"/>
  <c r="V69" s="1"/>
  <c r="K96" i="1"/>
  <c r="I96"/>
  <c r="J96" s="1"/>
  <c r="S26" i="2"/>
  <c r="S71" s="1"/>
  <c r="Z10"/>
  <c r="Z55" s="1"/>
  <c r="AJ55"/>
  <c r="V22" l="1"/>
  <c r="V67" s="1"/>
  <c r="K94" i="1"/>
  <c r="I94"/>
  <c r="L94" s="1"/>
  <c r="L64"/>
  <c r="D97"/>
  <c r="S25" i="2" s="1"/>
  <c r="S70" s="1"/>
  <c r="M74" i="1"/>
  <c r="M75"/>
  <c r="G99" s="1"/>
  <c r="V27" i="2" s="1"/>
  <c r="V72" s="1"/>
  <c r="V25"/>
  <c r="V70" s="1"/>
  <c r="I97" i="1"/>
  <c r="K97"/>
  <c r="V23" i="2"/>
  <c r="V68" s="1"/>
  <c r="I95" i="1"/>
  <c r="J95" s="1"/>
  <c r="K95"/>
  <c r="L96"/>
  <c r="M96" s="1"/>
  <c r="F97"/>
  <c r="F34"/>
  <c r="F36"/>
  <c r="L23"/>
  <c r="L25" s="1"/>
  <c r="K99" l="1"/>
  <c r="I99"/>
  <c r="J99" s="1"/>
  <c r="G98"/>
  <c r="F98" s="1"/>
  <c r="L95"/>
  <c r="M95" s="1"/>
  <c r="D41"/>
  <c r="AD12" i="2" s="1"/>
  <c r="L97" i="1"/>
  <c r="J97"/>
  <c r="M97" l="1"/>
  <c r="L99"/>
  <c r="M99" s="1"/>
  <c r="K98"/>
  <c r="I98"/>
  <c r="L98" s="1"/>
  <c r="J98"/>
  <c r="M98" s="1"/>
  <c r="V26" i="2"/>
  <c r="V71" s="1"/>
  <c r="G41" i="1"/>
  <c r="G93" s="1"/>
  <c r="F41"/>
  <c r="D93"/>
  <c r="F93" s="1"/>
  <c r="I93" l="1"/>
  <c r="J93" s="1"/>
  <c r="AF32" i="2" s="1"/>
  <c r="AF77" s="1"/>
  <c r="K93" i="1"/>
  <c r="V21" i="2"/>
  <c r="V34" s="1"/>
  <c r="S21"/>
  <c r="S66" s="1"/>
  <c r="L93" i="1" l="1"/>
  <c r="M93" s="1"/>
  <c r="M100" s="1"/>
  <c r="V66" i="2"/>
  <c r="V79" s="1"/>
  <c r="H32"/>
  <c r="H77" s="1"/>
  <c r="AF33" l="1"/>
  <c r="H33" s="1"/>
  <c r="H78" s="1"/>
  <c r="AF78" l="1"/>
  <c r="AF79" s="1"/>
  <c r="AF81" s="1"/>
  <c r="AF34"/>
  <c r="AF36" s="1"/>
  <c r="V40" s="1"/>
  <c r="V85" s="1"/>
  <c r="AF85" s="1"/>
  <c r="AF40" l="1"/>
</calcChain>
</file>

<file path=xl/comments1.xml><?xml version="1.0" encoding="utf-8"?>
<comments xmlns="http://schemas.openxmlformats.org/spreadsheetml/2006/main">
  <authors>
    <author>Maria Proiete</author>
  </authors>
  <commentList>
    <comment ref="K23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Coloque a da fim do contrato que consta no contrato a termo.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Colocar o n.º de dias que o contrato obriga de pré-aviso para rescisão ou não renovação (isto na óptica de quem está a rescindir o contrato, ou seja, se for a empresa colocar os dias a que a empresa está obrigada a dar de pré-aviso, se for o funcionário, colocar os dias que o funcionário deveria dar de pré aviso).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Último dia de trabalho efectivo (comparência física do trabalhador para trabalhar, ou falta justificada que seja equivalente a trabalho efectivo), sem contar com férias.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Contar pelo calendário o n.º de dias úteis que existem entre o último dia de trabalho e o fim do contrato.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Coloque os dias úteis.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Coloque os dias úteis.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Veja num calendário a data que, se o o funcionário gozasse todos os dias úteis de férias que  tem direito a gozar, a seguir ao último dia de trabalho efectivo.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Só para recordar que cada dia útil de férias não gozado é pago 3 vezes mais.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Coloque os dias úteis.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Coloque os dias úteis.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Normalmente será o primeiro dia do ano, caso o funcionário tenha sido contratado no ano anterior, ou a data de inicio de contrato, caso tenha sido contratado no próprio ano. Em casos menos frequentos, se já processou uma parte do Sub. de Natal, terá que colocar a data do dia seguinte ao que já processou.</t>
        </r>
      </text>
    </comment>
    <comment ref="I64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Normalmente será a data do último dia do contrato.
-------------------------------------
Se quiser escrever uma outra data e apagar a formula que está pré-definida, coloque a palavra-passe: "Password" para editar a célula.</t>
        </r>
      </text>
    </comment>
    <comment ref="M82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Vai buscar esta informação à célula M11, da data do aviso da não renovação do contrato. Se não estiver correcta altere.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Contar no calendário os dia úteis que o funcionário deveria ter dado à empresa de aviso de contrato, e </t>
        </r>
        <r>
          <rPr>
            <u/>
            <sz val="9"/>
            <color indexed="81"/>
            <rFont val="Tahoma"/>
            <family val="2"/>
          </rPr>
          <t>não cumpriu</t>
        </r>
        <r>
          <rPr>
            <sz val="9"/>
            <color indexed="81"/>
            <rFont val="Tahoma"/>
            <family val="2"/>
          </rPr>
          <t xml:space="preserve"> . Para o cálculo desses dias úteis, as férias não gozadas entram como dias de aviso.</t>
        </r>
      </text>
    </comment>
    <comment ref="M84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Vai buscar esta informação à célula M11, da data do aviso da não renovação do contrato e à célula M9, Quandos dias de pré-aviso.  Se os dados não estiverem correctos altere essas células. altere.</t>
        </r>
      </text>
    </comment>
    <comment ref="I86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Depende da politica da empresa, e também da forma como o funcionário sai. É uma decisão que cabe à empresa, pois é um direito que lhe assiste.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www.mariaproiete.com:</t>
        </r>
        <r>
          <rPr>
            <sz val="9"/>
            <color indexed="81"/>
            <rFont val="Tahoma"/>
            <family val="2"/>
          </rPr>
          <t xml:space="preserve">
Deve-se evitar no fecho de contas fazer ajustamentos, mas se já se processou os vencimento e se houver alguma despesa a pagar, ou algum adiantamento anteriormente pedido que tenha que ser agora descontado, deverá ser inserido nesta célula o valor.</t>
        </r>
      </text>
    </comment>
  </commentList>
</comments>
</file>

<file path=xl/sharedStrings.xml><?xml version="1.0" encoding="utf-8"?>
<sst xmlns="http://schemas.openxmlformats.org/spreadsheetml/2006/main" count="605" uniqueCount="162">
  <si>
    <t>Fecho de Contrato Laboral</t>
  </si>
  <si>
    <t>Data de Inicio do Contrato</t>
  </si>
  <si>
    <t>Data de Fim/Rescisão do Contrato</t>
  </si>
  <si>
    <t>Tipo de Contrato</t>
  </si>
  <si>
    <t>Tem férias por gozar de anos anteriores?</t>
  </si>
  <si>
    <t>Indeminização de Férias</t>
  </si>
  <si>
    <t>Tem férias por gozar deste ano?</t>
  </si>
  <si>
    <t>Data do último dia de trabalho efectivo</t>
  </si>
  <si>
    <t>Vencimento médio mensal dos últimos 12 meses</t>
  </si>
  <si>
    <t>Vencimento Hora</t>
  </si>
  <si>
    <t>Vencimento dia útil</t>
  </si>
  <si>
    <t>Vencimento dia calendário</t>
  </si>
  <si>
    <t>Nº. de horas trabalhadas por dia</t>
  </si>
  <si>
    <t>Nº.horas Semana</t>
  </si>
  <si>
    <t>Valor</t>
  </si>
  <si>
    <t>Valor Unitário</t>
  </si>
  <si>
    <t>Descrição da Retribuição</t>
  </si>
  <si>
    <t>DADOS RELATIVOS A FÉRIAS</t>
  </si>
  <si>
    <t>DADOS RELATIVOS A SUBSÍDIO DE FÉRIAS</t>
  </si>
  <si>
    <t>Tem Sub.Férias por pagar de anos anteriores?</t>
  </si>
  <si>
    <t>Tem Sub.Férias por pagar deste ano?</t>
  </si>
  <si>
    <t>Subsidio de Férias</t>
  </si>
  <si>
    <t>Proporcionais de Subsidio de férias</t>
  </si>
  <si>
    <t>DADOS RELATIVOS A SUBSÍDIO DE NATAL</t>
  </si>
  <si>
    <t>Tem Sub.Natal por pagar de anos anteriores?</t>
  </si>
  <si>
    <t>Tem Sub.Natal por pagar deste ano?</t>
  </si>
  <si>
    <t>Subsidio de Natal</t>
  </si>
  <si>
    <t>Proporcionais de Subsidio de Natal</t>
  </si>
  <si>
    <t>De</t>
  </si>
  <si>
    <t>Data dos cálculos</t>
  </si>
  <si>
    <t>TABELAS DE RETENÇÃO NA FONTE PARA  O CONTINENTE - 2009</t>
  </si>
  <si>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</si>
  <si>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</si>
  <si>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</si>
  <si>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</si>
  <si>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</si>
  <si>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</si>
  <si>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>Superior a</t>
  </si>
  <si>
    <t>T A B E L A II - TRABALHO DEPENDENTE</t>
  </si>
  <si>
    <t>CASADO UNICO TITULAR</t>
  </si>
  <si>
    <t>de</t>
  </si>
  <si>
    <t>T A B E L A III - TRABALHO DEPENDENTE</t>
  </si>
  <si>
    <t>CASADO DOIS TITULARES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</si>
  <si>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</si>
  <si>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</si>
  <si>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</si>
  <si>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</si>
  <si>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</si>
  <si>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</si>
  <si>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INDEMINIZAÇÃO POR NÃO DAR AVISO PRÉVIO (RELATIVO AO FUNCIONÁRIO)</t>
  </si>
  <si>
    <t>A rescisão do contrato é por</t>
  </si>
  <si>
    <t>Taxa IRS</t>
  </si>
  <si>
    <t>Descontos</t>
  </si>
  <si>
    <t>TAXAS CONTRIBUTIVAS DA SEGURANÇA SOCIAL:</t>
  </si>
  <si>
    <t>Descrição</t>
  </si>
  <si>
    <t>Trabalhadores</t>
  </si>
  <si>
    <t>Empregadores</t>
  </si>
  <si>
    <t>Taxa Contributiva - Desempregados Longa Duração</t>
  </si>
  <si>
    <t>Taxa Contributiva - Jovens 1º Emprego</t>
  </si>
  <si>
    <t>Taxa Contributiva - Órgãos Estatutários</t>
  </si>
  <si>
    <t>Taxa Contributiva - Regime Geral - Contrato Sem Termo</t>
  </si>
  <si>
    <t>Taxa Contributiva - Regime Geral - Contrato Com Termo</t>
  </si>
  <si>
    <t>Taxa Contributiva - Trabalhadores Deficientes</t>
  </si>
  <si>
    <t>DADOS RELATIVOS AO FUNCIONÁRIO</t>
  </si>
  <si>
    <t>DEPENDENTES:</t>
  </si>
  <si>
    <t>Nenhum dependente</t>
  </si>
  <si>
    <t>1 dependente</t>
  </si>
  <si>
    <t>2 dependentes</t>
  </si>
  <si>
    <t>3 dependentes</t>
  </si>
  <si>
    <t>4 dependentes</t>
  </si>
  <si>
    <t>5 dependentes (ou mais)</t>
  </si>
  <si>
    <t>TAXA CONTRIBUTIVA SEG.SOCIAL:</t>
  </si>
  <si>
    <t>Situação Familiar</t>
  </si>
  <si>
    <t>N.º de dependentes</t>
  </si>
  <si>
    <t>Regime da Segurança Social</t>
  </si>
  <si>
    <t>DADOS RELATIVOS AO CONTRATO</t>
  </si>
  <si>
    <t>Taxa S.Social</t>
  </si>
  <si>
    <t>Desconto IRS</t>
  </si>
  <si>
    <t>Desconto S.Social</t>
  </si>
  <si>
    <t>Valor Líquido</t>
  </si>
  <si>
    <t>Valor líquido a pagar</t>
  </si>
  <si>
    <t>Desenvolvido por:</t>
  </si>
  <si>
    <t>www.mariaproiete.com</t>
  </si>
  <si>
    <t>Recibo de vencimento</t>
  </si>
  <si>
    <t/>
  </si>
  <si>
    <t>Original</t>
  </si>
  <si>
    <t>Funcionário:</t>
  </si>
  <si>
    <t>N.º Funcionário:</t>
  </si>
  <si>
    <t>Entidade Empregadora:</t>
  </si>
  <si>
    <t xml:space="preserve">NIF: </t>
  </si>
  <si>
    <t>Nome:</t>
  </si>
  <si>
    <t>Categoria:</t>
  </si>
  <si>
    <t xml:space="preserve">N.º Beneficiário: </t>
  </si>
  <si>
    <t xml:space="preserve">Seguradora: </t>
  </si>
  <si>
    <t>Apólice Ac.Tr.:</t>
  </si>
  <si>
    <t>Situação familiar:</t>
  </si>
  <si>
    <t>Período:</t>
  </si>
  <si>
    <t>Data de fecho:</t>
  </si>
  <si>
    <t>N.º Dependentes:</t>
  </si>
  <si>
    <t>Vencimento Base:</t>
  </si>
  <si>
    <t>Vencimento Hora:</t>
  </si>
  <si>
    <t>Regime da S. Social:</t>
  </si>
  <si>
    <t>N.º Dias úteis</t>
  </si>
  <si>
    <t>Valor do Subsídio de Alimentação diário:</t>
  </si>
  <si>
    <t>N.º Faltas Injustificadas</t>
  </si>
  <si>
    <t>N.º Faltas Justificadas:</t>
  </si>
  <si>
    <t>N.º dias de férias</t>
  </si>
  <si>
    <t>N.º dias a receber ajudas de custo:</t>
  </si>
  <si>
    <t>A deslocação foi em</t>
  </si>
  <si>
    <t>Valor diário da Aj. de Custo:</t>
  </si>
  <si>
    <t>N.º horas Trab.Nocturno</t>
  </si>
  <si>
    <t>N.º hr. T.Supl.-D.Útil-1.ª Hr:</t>
  </si>
  <si>
    <t>N.º hr. T.Supl.-D.Útil-Hr.Sg.:</t>
  </si>
  <si>
    <t>N.º hr. T.Supl.-D.descanso:</t>
  </si>
  <si>
    <t>dias</t>
  </si>
  <si>
    <t>Remunerações</t>
  </si>
  <si>
    <t>Abonos</t>
  </si>
  <si>
    <t>IRS -</t>
  </si>
  <si>
    <t>taxa de</t>
  </si>
  <si>
    <t>Segurança Social -</t>
  </si>
  <si>
    <t>Subtotais</t>
  </si>
  <si>
    <t>Vencimento Liquido (a receber)</t>
  </si>
  <si>
    <t>Total Liquido</t>
  </si>
  <si>
    <t>Ajustes (+/-)</t>
  </si>
  <si>
    <t>Total Pago</t>
  </si>
  <si>
    <t>Pagamento efectuado por:</t>
  </si>
  <si>
    <t>Assinatura do funcionário:</t>
  </si>
  <si>
    <t>Duplicado</t>
  </si>
  <si>
    <t>N.º Faltas Injustifcadas</t>
  </si>
  <si>
    <t>N.º Faltas Justifcadas:</t>
  </si>
  <si>
    <t>NIF</t>
  </si>
  <si>
    <t>Seguradora</t>
  </si>
  <si>
    <t>Apólice de seguro de Acidentes de Trabalho</t>
  </si>
  <si>
    <t>Nome do Funcionário</t>
  </si>
  <si>
    <t>Categoria Profissional</t>
  </si>
  <si>
    <t>Nome da Empresa</t>
  </si>
  <si>
    <t>Morada</t>
  </si>
  <si>
    <t>Código Postal</t>
  </si>
  <si>
    <t>Localidade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</si>
  <si>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</si>
  <si>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</si>
  <si>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</si>
  <si>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</si>
  <si>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</si>
  <si>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</si>
  <si>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</si>
  <si>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</si>
  <si>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</si>
  <si>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</si>
  <si>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</si>
  <si>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</si>
  <si>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Vencimento Médio Mensal:</t>
  </si>
  <si>
    <t>N.º Dias férias não gozados:</t>
  </si>
  <si>
    <t>Existe algum ajuste a fazer?</t>
  </si>
  <si>
    <t>taxa média de</t>
  </si>
  <si>
    <t>O pagamento será efectuado por:</t>
  </si>
  <si>
    <t>N.º Beneficiário</t>
  </si>
  <si>
    <t>INDEMINIZAÇÃO POR CESSASSÃO DO CONTRATO (RELATIVO À EMPRESA)</t>
  </si>
  <si>
    <t>Unidade</t>
  </si>
  <si>
    <t>Terminar o contrato na data do último dia de trabalho efectivo e pagar indeminização por férias não gozadas</t>
  </si>
  <si>
    <t>Terminar o contrato após o fim das férias</t>
  </si>
  <si>
    <t>A data é outra, o funcionário só irá gozar parte das férias, pelos dias restantes será indeminizado</t>
  </si>
</sst>
</file>

<file path=xl/styles.xml><?xml version="1.0" encoding="utf-8"?>
<styleSheet xmlns="http://schemas.openxmlformats.org/spreadsheetml/2006/main">
  <numFmts count="11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\ &quot;dias úteis&quot;"/>
    <numFmt numFmtId="165" formatCode="0.0"/>
    <numFmt numFmtId="166" formatCode="0&quot; dias úteis&quot;"/>
    <numFmt numFmtId="167" formatCode="0&quot; horas&quot;"/>
    <numFmt numFmtId="168" formatCode="0.0\ &quot;dias&quot;"/>
    <numFmt numFmtId="169" formatCode="0.0%"/>
    <numFmt numFmtId="170" formatCode="0\ &quot;dias&quot;"/>
    <numFmt numFmtId="171" formatCode="###\ ###\ ###"/>
    <numFmt numFmtId="172" formatCode="0&quot; meses&quot;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name val="Tahoma"/>
      <family val="2"/>
    </font>
    <font>
      <sz val="16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i/>
      <sz val="10"/>
      <name val="Tahoma"/>
      <family val="2"/>
    </font>
    <font>
      <u/>
      <sz val="10"/>
      <color indexed="12"/>
      <name val="Arial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color rgb="FFFF0000"/>
      <name val="Tahoma"/>
      <family val="2"/>
    </font>
    <font>
      <i/>
      <sz val="11"/>
      <name val="Tahoma"/>
      <family val="2"/>
    </font>
    <font>
      <u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4411B"/>
      </left>
      <right style="thin">
        <color rgb="FF34411B"/>
      </right>
      <top style="thin">
        <color rgb="FF34411B"/>
      </top>
      <bottom style="thin">
        <color rgb="FF34411B"/>
      </bottom>
      <diagonal/>
    </border>
    <border>
      <left style="thin">
        <color rgb="FF34411B"/>
      </left>
      <right/>
      <top style="thin">
        <color rgb="FF34411B"/>
      </top>
      <bottom style="thin">
        <color rgb="FF34411B"/>
      </bottom>
      <diagonal/>
    </border>
    <border>
      <left/>
      <right/>
      <top style="thin">
        <color rgb="FF34411B"/>
      </top>
      <bottom style="thin">
        <color rgb="FF34411B"/>
      </bottom>
      <diagonal/>
    </border>
    <border>
      <left/>
      <right style="thin">
        <color rgb="FF34411B"/>
      </right>
      <top style="thin">
        <color rgb="FF34411B"/>
      </top>
      <bottom style="thin">
        <color rgb="FF34411B"/>
      </bottom>
      <diagonal/>
    </border>
    <border>
      <left style="medium">
        <color rgb="FF34411B"/>
      </left>
      <right/>
      <top style="medium">
        <color rgb="FF34411B"/>
      </top>
      <bottom/>
      <diagonal/>
    </border>
    <border>
      <left/>
      <right/>
      <top style="medium">
        <color rgb="FF34411B"/>
      </top>
      <bottom/>
      <diagonal/>
    </border>
    <border>
      <left/>
      <right style="medium">
        <color rgb="FF34411B"/>
      </right>
      <top style="medium">
        <color rgb="FF34411B"/>
      </top>
      <bottom/>
      <diagonal/>
    </border>
    <border>
      <left style="medium">
        <color rgb="FF34411B"/>
      </left>
      <right/>
      <top/>
      <bottom/>
      <diagonal/>
    </border>
    <border>
      <left/>
      <right style="medium">
        <color rgb="FF34411B"/>
      </right>
      <top/>
      <bottom/>
      <diagonal/>
    </border>
    <border>
      <left style="medium">
        <color rgb="FF34411B"/>
      </left>
      <right/>
      <top/>
      <bottom style="medium">
        <color rgb="FF34411B"/>
      </bottom>
      <diagonal/>
    </border>
    <border>
      <left/>
      <right/>
      <top/>
      <bottom style="medium">
        <color rgb="FF34411B"/>
      </bottom>
      <diagonal/>
    </border>
    <border>
      <left/>
      <right style="medium">
        <color rgb="FF34411B"/>
      </right>
      <top/>
      <bottom style="medium">
        <color rgb="FF34411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4411B"/>
      </left>
      <right style="thin">
        <color rgb="FF34411B"/>
      </right>
      <top style="thin">
        <color rgb="FF34411B"/>
      </top>
      <bottom/>
      <diagonal/>
    </border>
    <border>
      <left style="thin">
        <color rgb="FF34411B"/>
      </left>
      <right style="thin">
        <color rgb="FF34411B"/>
      </right>
      <top/>
      <bottom style="thin">
        <color rgb="FF34411B"/>
      </bottom>
      <diagonal/>
    </border>
    <border>
      <left style="medium">
        <color rgb="FF34411B"/>
      </left>
      <right style="thin">
        <color rgb="FF34411B"/>
      </right>
      <top style="medium">
        <color rgb="FF34411B"/>
      </top>
      <bottom style="medium">
        <color rgb="FF34411B"/>
      </bottom>
      <diagonal/>
    </border>
    <border>
      <left style="thin">
        <color rgb="FF34411B"/>
      </left>
      <right style="thin">
        <color rgb="FF34411B"/>
      </right>
      <top style="medium">
        <color rgb="FF34411B"/>
      </top>
      <bottom style="medium">
        <color rgb="FF34411B"/>
      </bottom>
      <diagonal/>
    </border>
    <border>
      <left style="thin">
        <color rgb="FF34411B"/>
      </left>
      <right style="medium">
        <color rgb="FF34411B"/>
      </right>
      <top style="medium">
        <color rgb="FF34411B"/>
      </top>
      <bottom style="medium">
        <color rgb="FF34411B"/>
      </bottom>
      <diagonal/>
    </border>
    <border>
      <left style="medium">
        <color rgb="FF34411B"/>
      </left>
      <right style="thin">
        <color rgb="FF34411B"/>
      </right>
      <top style="medium">
        <color rgb="FF34411B"/>
      </top>
      <bottom style="thin">
        <color rgb="FF34411B"/>
      </bottom>
      <diagonal/>
    </border>
    <border>
      <left style="thin">
        <color rgb="FF34411B"/>
      </left>
      <right style="thin">
        <color rgb="FF34411B"/>
      </right>
      <top style="medium">
        <color rgb="FF34411B"/>
      </top>
      <bottom style="thin">
        <color rgb="FF34411B"/>
      </bottom>
      <diagonal/>
    </border>
    <border>
      <left style="thin">
        <color rgb="FF34411B"/>
      </left>
      <right style="medium">
        <color rgb="FF34411B"/>
      </right>
      <top style="medium">
        <color rgb="FF34411B"/>
      </top>
      <bottom style="thin">
        <color rgb="FF34411B"/>
      </bottom>
      <diagonal/>
    </border>
    <border>
      <left style="medium">
        <color rgb="FF34411B"/>
      </left>
      <right style="thin">
        <color rgb="FF34411B"/>
      </right>
      <top style="thin">
        <color rgb="FF34411B"/>
      </top>
      <bottom style="thin">
        <color rgb="FF34411B"/>
      </bottom>
      <diagonal/>
    </border>
    <border>
      <left style="thin">
        <color rgb="FF34411B"/>
      </left>
      <right style="medium">
        <color rgb="FF34411B"/>
      </right>
      <top style="thin">
        <color rgb="FF34411B"/>
      </top>
      <bottom style="thin">
        <color rgb="FF34411B"/>
      </bottom>
      <diagonal/>
    </border>
    <border>
      <left style="medium">
        <color rgb="FF34411B"/>
      </left>
      <right style="thin">
        <color rgb="FF34411B"/>
      </right>
      <top style="thin">
        <color rgb="FF34411B"/>
      </top>
      <bottom style="medium">
        <color rgb="FF34411B"/>
      </bottom>
      <diagonal/>
    </border>
    <border>
      <left style="thin">
        <color rgb="FF34411B"/>
      </left>
      <right style="thin">
        <color rgb="FF34411B"/>
      </right>
      <top style="thin">
        <color rgb="FF34411B"/>
      </top>
      <bottom style="medium">
        <color rgb="FF34411B"/>
      </bottom>
      <diagonal/>
    </border>
    <border>
      <left style="thin">
        <color rgb="FF34411B"/>
      </left>
      <right style="medium">
        <color rgb="FF34411B"/>
      </right>
      <top style="thin">
        <color rgb="FF34411B"/>
      </top>
      <bottom style="medium">
        <color rgb="FF34411B"/>
      </bottom>
      <diagonal/>
    </border>
    <border>
      <left style="thin">
        <color rgb="FF34411B"/>
      </left>
      <right/>
      <top/>
      <bottom/>
      <diagonal/>
    </border>
    <border>
      <left/>
      <right style="thin">
        <color rgb="FF34411B"/>
      </right>
      <top style="medium">
        <color rgb="FF34411B"/>
      </top>
      <bottom style="medium">
        <color rgb="FF34411B"/>
      </bottom>
      <diagonal/>
    </border>
    <border>
      <left style="thin">
        <color rgb="FF34411B"/>
      </left>
      <right/>
      <top style="medium">
        <color rgb="FF34411B"/>
      </top>
      <bottom style="medium">
        <color rgb="FF34411B"/>
      </bottom>
      <diagonal/>
    </border>
    <border>
      <left/>
      <right style="thin">
        <color rgb="FF34411B"/>
      </right>
      <top/>
      <bottom style="thin">
        <color rgb="FF34411B"/>
      </bottom>
      <diagonal/>
    </border>
    <border>
      <left style="thin">
        <color rgb="FF34411B"/>
      </left>
      <right/>
      <top/>
      <bottom style="thin">
        <color rgb="FF34411B"/>
      </bottom>
      <diagonal/>
    </border>
    <border>
      <left/>
      <right style="thin">
        <color rgb="FF34411B"/>
      </right>
      <top style="thin">
        <color rgb="FF34411B"/>
      </top>
      <bottom style="medium">
        <color rgb="FF34411B"/>
      </bottom>
      <diagonal/>
    </border>
    <border>
      <left style="thin">
        <color rgb="FF34411B"/>
      </left>
      <right/>
      <top style="thin">
        <color rgb="FF34411B"/>
      </top>
      <bottom style="medium">
        <color rgb="FF34411B"/>
      </bottom>
      <diagonal/>
    </border>
    <border>
      <left style="thin">
        <color rgb="FF34411B"/>
      </left>
      <right/>
      <top style="thin">
        <color rgb="FF34411B"/>
      </top>
      <bottom/>
      <diagonal/>
    </border>
    <border>
      <left/>
      <right style="thin">
        <color rgb="FF34411B"/>
      </right>
      <top style="thin">
        <color rgb="FF34411B"/>
      </top>
      <bottom/>
      <diagonal/>
    </border>
    <border>
      <left/>
      <right style="thin">
        <color rgb="FF34411B"/>
      </right>
      <top/>
      <bottom/>
      <diagonal/>
    </border>
    <border>
      <left style="medium">
        <color rgb="FF34411B"/>
      </left>
      <right/>
      <top style="medium">
        <color rgb="FF34411B"/>
      </top>
      <bottom style="medium">
        <color rgb="FF34411B"/>
      </bottom>
      <diagonal/>
    </border>
    <border>
      <left/>
      <right style="medium">
        <color rgb="FF34411B"/>
      </right>
      <top style="medium">
        <color rgb="FF34411B"/>
      </top>
      <bottom style="medium">
        <color rgb="FF34411B"/>
      </bottom>
      <diagonal/>
    </border>
    <border>
      <left/>
      <right/>
      <top style="thin">
        <color rgb="FF34411B"/>
      </top>
      <bottom/>
      <diagonal/>
    </border>
    <border>
      <left style="medium">
        <color rgb="FF34411B"/>
      </left>
      <right/>
      <top/>
      <bottom style="thin">
        <color rgb="FF34411B"/>
      </bottom>
      <diagonal/>
    </border>
    <border>
      <left/>
      <right style="medium">
        <color rgb="FF34411B"/>
      </right>
      <top/>
      <bottom style="thin">
        <color rgb="FF34411B"/>
      </bottom>
      <diagonal/>
    </border>
    <border>
      <left style="medium">
        <color rgb="FF34411B"/>
      </left>
      <right/>
      <top style="thin">
        <color rgb="FF34411B"/>
      </top>
      <bottom style="thin">
        <color rgb="FF34411B"/>
      </bottom>
      <diagonal/>
    </border>
    <border>
      <left/>
      <right style="medium">
        <color rgb="FF34411B"/>
      </right>
      <top style="thin">
        <color rgb="FF34411B"/>
      </top>
      <bottom style="thin">
        <color rgb="FF34411B"/>
      </bottom>
      <diagonal/>
    </border>
    <border>
      <left style="medium">
        <color rgb="FF34411B"/>
      </left>
      <right/>
      <top style="thin">
        <color rgb="FF34411B"/>
      </top>
      <bottom style="medium">
        <color rgb="FF34411B"/>
      </bottom>
      <diagonal/>
    </border>
    <border>
      <left/>
      <right style="medium">
        <color rgb="FF34411B"/>
      </right>
      <top style="thin">
        <color rgb="FF34411B"/>
      </top>
      <bottom style="medium">
        <color rgb="FF34411B"/>
      </bottom>
      <diagonal/>
    </border>
    <border>
      <left style="thick">
        <color rgb="FF34411B"/>
      </left>
      <right/>
      <top style="thick">
        <color rgb="FF34411B"/>
      </top>
      <bottom/>
      <diagonal/>
    </border>
    <border>
      <left/>
      <right/>
      <top style="thick">
        <color rgb="FF34411B"/>
      </top>
      <bottom/>
      <diagonal/>
    </border>
    <border>
      <left/>
      <right style="thick">
        <color rgb="FF34411B"/>
      </right>
      <top style="thick">
        <color rgb="FF34411B"/>
      </top>
      <bottom/>
      <diagonal/>
    </border>
    <border>
      <left style="thick">
        <color rgb="FF34411B"/>
      </left>
      <right/>
      <top/>
      <bottom/>
      <diagonal/>
    </border>
    <border>
      <left/>
      <right style="thick">
        <color rgb="FF34411B"/>
      </right>
      <top/>
      <bottom/>
      <diagonal/>
    </border>
    <border>
      <left/>
      <right/>
      <top/>
      <bottom style="thin">
        <color rgb="FF34411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34411B"/>
      </left>
      <right/>
      <top/>
      <bottom style="thick">
        <color rgb="FF34411B"/>
      </bottom>
      <diagonal/>
    </border>
    <border>
      <left/>
      <right/>
      <top/>
      <bottom style="thick">
        <color rgb="FF34411B"/>
      </bottom>
      <diagonal/>
    </border>
    <border>
      <left/>
      <right style="thick">
        <color rgb="FF34411B"/>
      </right>
      <top/>
      <bottom style="thick">
        <color rgb="FF34411B"/>
      </bottom>
      <diagonal/>
    </border>
    <border>
      <left style="hair">
        <color rgb="FF34411B"/>
      </left>
      <right style="hair">
        <color rgb="FF34411B"/>
      </right>
      <top style="thin">
        <color rgb="FF34411B"/>
      </top>
      <bottom style="thin">
        <color rgb="FF34411B"/>
      </bottom>
      <diagonal/>
    </border>
    <border>
      <left style="hair">
        <color rgb="FF34411B"/>
      </left>
      <right style="thin">
        <color rgb="FF34411B"/>
      </right>
      <top style="thin">
        <color rgb="FF34411B"/>
      </top>
      <bottom style="thin">
        <color rgb="FF34411B"/>
      </bottom>
      <diagonal/>
    </border>
    <border>
      <left/>
      <right style="hair">
        <color rgb="FF34411B"/>
      </right>
      <top style="thin">
        <color rgb="FF34411B"/>
      </top>
      <bottom style="thin">
        <color rgb="FF34411B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/>
    <xf numFmtId="0" fontId="0" fillId="0" borderId="0" xfId="0" applyAlignment="1" applyProtection="1">
      <alignment vertical="center"/>
      <protection hidden="1"/>
    </xf>
    <xf numFmtId="14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44" fontId="0" fillId="3" borderId="5" xfId="1" applyFont="1" applyFill="1" applyBorder="1" applyAlignment="1" applyProtection="1">
      <alignment vertical="center"/>
      <protection hidden="1"/>
    </xf>
    <xf numFmtId="167" fontId="0" fillId="2" borderId="5" xfId="1" applyNumberFormat="1" applyFont="1" applyFill="1" applyBorder="1" applyAlignment="1" applyProtection="1">
      <alignment vertical="center"/>
      <protection locked="0"/>
    </xf>
    <xf numFmtId="44" fontId="2" fillId="2" borderId="5" xfId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14" fontId="2" fillId="0" borderId="5" xfId="0" applyNumberFormat="1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0" fillId="0" borderId="13" xfId="0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65" fontId="8" fillId="0" borderId="0" xfId="0" applyNumberFormat="1" applyFont="1" applyBorder="1" applyAlignment="1" applyProtection="1">
      <alignment vertical="top" wrapText="1"/>
      <protection hidden="1"/>
    </xf>
    <xf numFmtId="166" fontId="0" fillId="0" borderId="0" xfId="0" applyNumberFormat="1" applyBorder="1" applyAlignment="1" applyProtection="1">
      <alignment vertical="center"/>
      <protection hidden="1"/>
    </xf>
    <xf numFmtId="166" fontId="0" fillId="0" borderId="0" xfId="1" applyNumberFormat="1" applyFont="1" applyBorder="1" applyAlignment="1" applyProtection="1">
      <alignment vertical="center"/>
      <protection hidden="1"/>
    </xf>
    <xf numFmtId="44" fontId="0" fillId="0" borderId="0" xfId="1" applyFont="1" applyBorder="1" applyAlignment="1" applyProtection="1">
      <alignment vertical="center"/>
      <protection hidden="1"/>
    </xf>
    <xf numFmtId="14" fontId="5" fillId="0" borderId="0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vertical="center"/>
      <protection hidden="1"/>
    </xf>
    <xf numFmtId="168" fontId="0" fillId="0" borderId="0" xfId="0" applyNumberForma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4" fontId="0" fillId="0" borderId="0" xfId="0" applyNumberForma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 indent="1"/>
      <protection hidden="1"/>
    </xf>
    <xf numFmtId="14" fontId="12" fillId="0" borderId="5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3" fillId="0" borderId="0" xfId="2"/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Continuous"/>
    </xf>
    <xf numFmtId="0" fontId="13" fillId="0" borderId="0" xfId="2" applyAlignment="1">
      <alignment horizontal="centerContinuous"/>
    </xf>
    <xf numFmtId="3" fontId="13" fillId="0" borderId="0" xfId="2" applyNumberFormat="1" applyAlignment="1">
      <alignment horizontal="centerContinuous"/>
    </xf>
    <xf numFmtId="0" fontId="15" fillId="0" borderId="0" xfId="2" applyFont="1" applyAlignment="1">
      <alignment horizontal="centerContinuous"/>
    </xf>
    <xf numFmtId="3" fontId="13" fillId="0" borderId="0" xfId="2" applyNumberFormat="1"/>
    <xf numFmtId="0" fontId="14" fillId="0" borderId="2" xfId="2" applyFont="1" applyBorder="1" applyAlignment="1">
      <alignment horizontal="centerContinuous"/>
    </xf>
    <xf numFmtId="0" fontId="13" fillId="0" borderId="3" xfId="2" applyBorder="1" applyAlignment="1">
      <alignment horizontal="centerContinuous"/>
    </xf>
    <xf numFmtId="0" fontId="13" fillId="0" borderId="4" xfId="2" applyBorder="1" applyAlignment="1">
      <alignment horizontal="centerContinuous"/>
    </xf>
    <xf numFmtId="0" fontId="13" fillId="0" borderId="1" xfId="2" applyBorder="1" applyAlignment="1">
      <alignment horizontal="center" vertical="center"/>
    </xf>
    <xf numFmtId="0" fontId="13" fillId="0" borderId="3" xfId="2" applyBorder="1" applyAlignment="1">
      <alignment horizontal="center" vertical="center"/>
    </xf>
    <xf numFmtId="0" fontId="13" fillId="0" borderId="4" xfId="2" quotePrefix="1" applyBorder="1" applyAlignment="1">
      <alignment horizontal="center" vertical="center"/>
    </xf>
    <xf numFmtId="0" fontId="16" fillId="0" borderId="23" xfId="2" applyFont="1" applyBorder="1"/>
    <xf numFmtId="4" fontId="16" fillId="3" borderId="0" xfId="2" applyNumberFormat="1" applyFont="1" applyFill="1" applyBorder="1" applyProtection="1"/>
    <xf numFmtId="4" fontId="16" fillId="2" borderId="0" xfId="2" applyNumberFormat="1" applyFont="1" applyFill="1" applyBorder="1" applyProtection="1">
      <protection locked="0"/>
    </xf>
    <xf numFmtId="169" fontId="16" fillId="2" borderId="24" xfId="2" applyNumberFormat="1" applyFont="1" applyFill="1" applyBorder="1" applyProtection="1">
      <protection locked="0"/>
    </xf>
    <xf numFmtId="169" fontId="16" fillId="2" borderId="0" xfId="2" applyNumberFormat="1" applyFont="1" applyFill="1" applyBorder="1" applyProtection="1">
      <protection locked="0"/>
    </xf>
    <xf numFmtId="4" fontId="13" fillId="0" borderId="0" xfId="2" applyNumberFormat="1"/>
    <xf numFmtId="0" fontId="16" fillId="0" borderId="20" xfId="2" applyFont="1" applyFill="1" applyBorder="1"/>
    <xf numFmtId="4" fontId="16" fillId="3" borderId="22" xfId="2" applyNumberFormat="1" applyFont="1" applyFill="1" applyBorder="1" applyProtection="1"/>
    <xf numFmtId="4" fontId="16" fillId="2" borderId="22" xfId="2" applyNumberFormat="1" applyFont="1" applyFill="1" applyBorder="1" applyProtection="1">
      <protection locked="0"/>
    </xf>
    <xf numFmtId="169" fontId="16" fillId="2" borderId="25" xfId="2" applyNumberFormat="1" applyFont="1" applyFill="1" applyBorder="1" applyProtection="1">
      <protection locked="0"/>
    </xf>
    <xf numFmtId="169" fontId="16" fillId="2" borderId="21" xfId="2" applyNumberFormat="1" applyFont="1" applyFill="1" applyBorder="1" applyProtection="1">
      <protection locked="0"/>
    </xf>
    <xf numFmtId="0" fontId="13" fillId="0" borderId="4" xfId="2" applyBorder="1" applyAlignment="1">
      <alignment horizontal="center" vertical="center"/>
    </xf>
    <xf numFmtId="169" fontId="16" fillId="2" borderId="24" xfId="3" applyNumberFormat="1" applyFont="1" applyFill="1" applyBorder="1" applyProtection="1">
      <protection locked="0"/>
    </xf>
    <xf numFmtId="169" fontId="16" fillId="2" borderId="26" xfId="3" applyNumberFormat="1" applyFont="1" applyFill="1" applyBorder="1" applyProtection="1">
      <protection locked="0"/>
    </xf>
    <xf numFmtId="4" fontId="16" fillId="3" borderId="21" xfId="2" applyNumberFormat="1" applyFont="1" applyFill="1" applyBorder="1" applyProtection="1"/>
    <xf numFmtId="169" fontId="16" fillId="2" borderId="25" xfId="3" applyNumberFormat="1" applyFont="1" applyFill="1" applyBorder="1" applyProtection="1">
      <protection locked="0"/>
    </xf>
    <xf numFmtId="169" fontId="16" fillId="2" borderId="22" xfId="3" applyNumberFormat="1" applyFont="1" applyFill="1" applyBorder="1" applyProtection="1">
      <protection locked="0"/>
    </xf>
    <xf numFmtId="4" fontId="16" fillId="0" borderId="0" xfId="2" applyNumberFormat="1" applyFont="1" applyBorder="1"/>
    <xf numFmtId="169" fontId="16" fillId="2" borderId="17" xfId="3" applyNumberFormat="1" applyFont="1" applyFill="1" applyBorder="1" applyProtection="1">
      <protection locked="0"/>
    </xf>
    <xf numFmtId="169" fontId="16" fillId="2" borderId="27" xfId="3" applyNumberFormat="1" applyFont="1" applyFill="1" applyBorder="1" applyProtection="1">
      <protection locked="0"/>
    </xf>
    <xf numFmtId="169" fontId="16" fillId="2" borderId="18" xfId="3" applyNumberFormat="1" applyFont="1" applyFill="1" applyBorder="1" applyProtection="1">
      <protection locked="0"/>
    </xf>
    <xf numFmtId="169" fontId="16" fillId="2" borderId="23" xfId="3" applyNumberFormat="1" applyFont="1" applyFill="1" applyBorder="1" applyProtection="1">
      <protection locked="0"/>
    </xf>
    <xf numFmtId="169" fontId="16" fillId="2" borderId="0" xfId="3" applyNumberFormat="1" applyFont="1" applyFill="1" applyBorder="1" applyProtection="1">
      <protection locked="0"/>
    </xf>
    <xf numFmtId="169" fontId="16" fillId="2" borderId="20" xfId="3" applyNumberFormat="1" applyFont="1" applyFill="1" applyBorder="1" applyProtection="1">
      <protection locked="0"/>
    </xf>
    <xf numFmtId="169" fontId="16" fillId="2" borderId="21" xfId="3" applyNumberFormat="1" applyFont="1" applyFill="1" applyBorder="1" applyProtection="1">
      <protection locked="0"/>
    </xf>
    <xf numFmtId="0" fontId="13" fillId="0" borderId="0" xfId="2" quotePrefix="1"/>
    <xf numFmtId="0" fontId="13" fillId="0" borderId="1" xfId="2" applyFont="1" applyBorder="1" applyAlignment="1">
      <alignment horizontal="center" vertical="center"/>
    </xf>
    <xf numFmtId="0" fontId="16" fillId="0" borderId="20" xfId="2" applyFont="1" applyBorder="1"/>
    <xf numFmtId="0" fontId="16" fillId="0" borderId="0" xfId="2" applyFont="1" applyBorder="1"/>
    <xf numFmtId="169" fontId="16" fillId="0" borderId="0" xfId="3" applyNumberFormat="1" applyFont="1" applyBorder="1"/>
    <xf numFmtId="169" fontId="16" fillId="0" borderId="0" xfId="3" applyNumberFormat="1" applyFont="1" applyFill="1" applyBorder="1"/>
    <xf numFmtId="0" fontId="16" fillId="0" borderId="23" xfId="2" applyFont="1" applyFill="1" applyBorder="1"/>
    <xf numFmtId="4" fontId="16" fillId="2" borderId="21" xfId="2" applyNumberFormat="1" applyFont="1" applyFill="1" applyBorder="1" applyProtection="1">
      <protection locked="0"/>
    </xf>
    <xf numFmtId="169" fontId="13" fillId="0" borderId="0" xfId="2" applyNumberFormat="1"/>
    <xf numFmtId="0" fontId="14" fillId="0" borderId="0" xfId="2" applyFont="1" applyBorder="1" applyAlignment="1">
      <alignment horizontal="center" vertical="center"/>
    </xf>
    <xf numFmtId="0" fontId="13" fillId="0" borderId="0" xfId="2" applyBorder="1" applyAlignment="1"/>
    <xf numFmtId="3" fontId="13" fillId="0" borderId="0" xfId="2" applyNumberFormat="1" applyBorder="1" applyAlignment="1"/>
    <xf numFmtId="0" fontId="14" fillId="0" borderId="0" xfId="2" quotePrefix="1" applyFont="1" applyBorder="1" applyAlignment="1">
      <alignment horizontal="centerContinuous"/>
    </xf>
    <xf numFmtId="0" fontId="13" fillId="0" borderId="0" xfId="2" applyBorder="1" applyAlignment="1">
      <alignment horizontal="centerContinuous"/>
    </xf>
    <xf numFmtId="0" fontId="15" fillId="0" borderId="0" xfId="2" applyFont="1" applyBorder="1" applyAlignment="1">
      <alignment horizontal="centerContinuous"/>
    </xf>
    <xf numFmtId="3" fontId="14" fillId="0" borderId="0" xfId="2" applyNumberFormat="1" applyFont="1" applyBorder="1" applyAlignment="1">
      <alignment horizontal="center" vertical="center"/>
    </xf>
    <xf numFmtId="0" fontId="13" fillId="0" borderId="0" xfId="2" applyBorder="1" applyAlignment="1">
      <alignment horizontal="center" vertical="center"/>
    </xf>
    <xf numFmtId="0" fontId="16" fillId="0" borderId="0" xfId="2" applyFont="1" applyBorder="1" applyAlignment="1"/>
    <xf numFmtId="4" fontId="16" fillId="0" borderId="0" xfId="2" applyNumberFormat="1" applyFont="1" applyBorder="1" applyAlignment="1" applyProtection="1"/>
    <xf numFmtId="169" fontId="16" fillId="0" borderId="0" xfId="3" applyNumberFormat="1" applyFont="1" applyBorder="1" applyAlignment="1">
      <alignment horizontal="right"/>
    </xf>
    <xf numFmtId="169" fontId="16" fillId="0" borderId="0" xfId="3" applyNumberFormat="1" applyFont="1" applyBorder="1" applyAlignment="1"/>
    <xf numFmtId="4" fontId="16" fillId="0" borderId="0" xfId="2" applyNumberFormat="1" applyFont="1" applyBorder="1" applyAlignment="1"/>
    <xf numFmtId="0" fontId="13" fillId="0" borderId="0" xfId="2" applyBorder="1"/>
    <xf numFmtId="0" fontId="14" fillId="0" borderId="0" xfId="2" applyFont="1" applyBorder="1" applyAlignment="1">
      <alignment horizontal="centerContinuous"/>
    </xf>
    <xf numFmtId="3" fontId="13" fillId="0" borderId="0" xfId="2" applyNumberFormat="1" applyBorder="1"/>
    <xf numFmtId="0" fontId="16" fillId="0" borderId="0" xfId="2" applyFont="1" applyFill="1" applyBorder="1"/>
    <xf numFmtId="4" fontId="16" fillId="0" borderId="0" xfId="2" applyNumberFormat="1" applyFont="1" applyFill="1" applyBorder="1" applyProtection="1"/>
    <xf numFmtId="169" fontId="13" fillId="0" borderId="0" xfId="3" applyNumberFormat="1" applyFont="1" applyBorder="1"/>
    <xf numFmtId="4" fontId="16" fillId="0" borderId="0" xfId="2" applyNumberFormat="1" applyFont="1" applyFill="1" applyBorder="1"/>
    <xf numFmtId="0" fontId="19" fillId="0" borderId="0" xfId="0" applyFont="1" applyBorder="1" applyAlignment="1" applyProtection="1">
      <alignment horizontal="right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17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 indent="1"/>
      <protection hidden="1"/>
    </xf>
    <xf numFmtId="44" fontId="0" fillId="0" borderId="0" xfId="1" applyFont="1" applyBorder="1" applyAlignment="1" applyProtection="1">
      <alignment horizontal="center" vertical="center"/>
      <protection hidden="1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2" fillId="4" borderId="30" xfId="2" applyFont="1" applyFill="1" applyBorder="1" applyAlignment="1">
      <alignment vertical="center"/>
    </xf>
    <xf numFmtId="0" fontId="22" fillId="4" borderId="31" xfId="2" applyFont="1" applyFill="1" applyBorder="1" applyAlignment="1" applyProtection="1">
      <alignment vertical="center"/>
      <protection hidden="1"/>
    </xf>
    <xf numFmtId="0" fontId="22" fillId="4" borderId="32" xfId="2" applyFont="1" applyFill="1" applyBorder="1" applyAlignment="1" applyProtection="1">
      <alignment vertical="center"/>
      <protection hidden="1"/>
    </xf>
    <xf numFmtId="0" fontId="20" fillId="2" borderId="33" xfId="2" applyFont="1" applyFill="1" applyBorder="1" applyAlignment="1" applyProtection="1">
      <alignment vertical="center"/>
      <protection locked="0" hidden="1"/>
    </xf>
    <xf numFmtId="9" fontId="20" fillId="2" borderId="34" xfId="3" applyFont="1" applyFill="1" applyBorder="1" applyAlignment="1" applyProtection="1">
      <alignment vertical="center"/>
      <protection locked="0" hidden="1"/>
    </xf>
    <xf numFmtId="10" fontId="20" fillId="2" borderId="35" xfId="3" applyNumberFormat="1" applyFont="1" applyFill="1" applyBorder="1" applyAlignment="1" applyProtection="1">
      <alignment vertical="center"/>
      <protection locked="0" hidden="1"/>
    </xf>
    <xf numFmtId="0" fontId="20" fillId="2" borderId="36" xfId="2" applyFont="1" applyFill="1" applyBorder="1" applyAlignment="1" applyProtection="1">
      <alignment vertical="center"/>
      <protection locked="0" hidden="1"/>
    </xf>
    <xf numFmtId="9" fontId="20" fillId="2" borderId="5" xfId="3" applyFont="1" applyFill="1" applyBorder="1" applyAlignment="1" applyProtection="1">
      <alignment vertical="center"/>
      <protection locked="0" hidden="1"/>
    </xf>
    <xf numFmtId="10" fontId="20" fillId="2" borderId="37" xfId="3" applyNumberFormat="1" applyFont="1" applyFill="1" applyBorder="1" applyAlignment="1" applyProtection="1">
      <alignment vertical="center"/>
      <protection locked="0" hidden="1"/>
    </xf>
    <xf numFmtId="0" fontId="20" fillId="2" borderId="38" xfId="2" applyFont="1" applyFill="1" applyBorder="1" applyAlignment="1" applyProtection="1">
      <alignment vertical="center"/>
      <protection locked="0"/>
    </xf>
    <xf numFmtId="0" fontId="20" fillId="2" borderId="39" xfId="2" applyFont="1" applyFill="1" applyBorder="1" applyAlignment="1" applyProtection="1">
      <alignment vertical="center"/>
      <protection locked="0"/>
    </xf>
    <xf numFmtId="0" fontId="20" fillId="2" borderId="40" xfId="2" applyFont="1" applyFill="1" applyBorder="1" applyAlignment="1" applyProtection="1">
      <alignment vertical="center"/>
      <protection locked="0"/>
    </xf>
    <xf numFmtId="14" fontId="12" fillId="0" borderId="0" xfId="0" applyNumberFormat="1" applyFont="1" applyBorder="1" applyAlignment="1" applyProtection="1">
      <alignment vertical="center"/>
      <protection hidden="1"/>
    </xf>
    <xf numFmtId="0" fontId="20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alignment horizontal="left" vertical="center"/>
      <protection hidden="1"/>
    </xf>
    <xf numFmtId="9" fontId="20" fillId="5" borderId="0" xfId="3" applyFont="1" applyFill="1" applyAlignment="1" applyProtection="1">
      <alignment vertical="center"/>
      <protection hidden="1"/>
    </xf>
    <xf numFmtId="10" fontId="20" fillId="5" borderId="0" xfId="3" applyNumberFormat="1" applyFont="1" applyFill="1" applyAlignment="1" applyProtection="1">
      <alignment vertical="center"/>
      <protection hidden="1"/>
    </xf>
    <xf numFmtId="0" fontId="24" fillId="5" borderId="0" xfId="0" applyFont="1" applyFill="1" applyAlignment="1" applyProtection="1">
      <alignment vertical="center"/>
      <protection hidden="1"/>
    </xf>
    <xf numFmtId="4" fontId="20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5" xfId="0" applyFill="1" applyBorder="1" applyAlignment="1" applyProtection="1">
      <alignment vertical="center"/>
      <protection locked="0"/>
    </xf>
    <xf numFmtId="44" fontId="0" fillId="0" borderId="5" xfId="1" applyFont="1" applyBorder="1" applyAlignment="1" applyProtection="1">
      <alignment vertical="center"/>
      <protection hidden="1"/>
    </xf>
    <xf numFmtId="169" fontId="0" fillId="0" borderId="5" xfId="5" applyNumberFormat="1" applyFont="1" applyBorder="1" applyAlignment="1" applyProtection="1">
      <alignment horizontal="center" vertical="center"/>
      <protection hidden="1"/>
    </xf>
    <xf numFmtId="44" fontId="0" fillId="0" borderId="39" xfId="1" applyFont="1" applyBorder="1" applyAlignment="1" applyProtection="1">
      <alignment vertical="center"/>
      <protection hidden="1"/>
    </xf>
    <xf numFmtId="169" fontId="0" fillId="0" borderId="39" xfId="5" applyNumberFormat="1" applyFont="1" applyBorder="1" applyAlignment="1" applyProtection="1">
      <alignment horizontal="center" vertical="center"/>
      <protection hidden="1"/>
    </xf>
    <xf numFmtId="44" fontId="0" fillId="0" borderId="29" xfId="1" applyFont="1" applyBorder="1" applyAlignment="1" applyProtection="1">
      <alignment vertical="center"/>
      <protection hidden="1"/>
    </xf>
    <xf numFmtId="169" fontId="0" fillId="0" borderId="29" xfId="5" applyNumberFormat="1" applyFont="1" applyBorder="1" applyAlignment="1" applyProtection="1">
      <alignment horizontal="center" vertical="center"/>
      <protection hidden="1"/>
    </xf>
    <xf numFmtId="0" fontId="17" fillId="4" borderId="3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0" fontId="17" fillId="4" borderId="42" xfId="0" applyFont="1" applyFill="1" applyBorder="1" applyAlignment="1" applyProtection="1">
      <alignment vertical="center"/>
      <protection hidden="1"/>
    </xf>
    <xf numFmtId="0" fontId="17" fillId="4" borderId="43" xfId="0" applyFont="1" applyFill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4" borderId="51" xfId="0" applyFill="1" applyBorder="1" applyAlignment="1" applyProtection="1">
      <alignment vertical="center"/>
      <protection hidden="1"/>
    </xf>
    <xf numFmtId="0" fontId="0" fillId="4" borderId="52" xfId="0" applyFill="1" applyBorder="1" applyAlignment="1" applyProtection="1">
      <alignment vertical="center"/>
      <protection hidden="1"/>
    </xf>
    <xf numFmtId="0" fontId="18" fillId="4" borderId="42" xfId="0" applyFont="1" applyFill="1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6" fillId="0" borderId="0" xfId="6" applyAlignment="1" applyProtection="1">
      <alignment horizontal="right" vertical="top"/>
      <protection hidden="1"/>
    </xf>
    <xf numFmtId="0" fontId="20" fillId="2" borderId="60" xfId="0" applyFont="1" applyFill="1" applyBorder="1" applyAlignment="1" applyProtection="1">
      <alignment vertical="center"/>
      <protection hidden="1"/>
    </xf>
    <xf numFmtId="0" fontId="20" fillId="2" borderId="61" xfId="0" applyFont="1" applyFill="1" applyBorder="1" applyAlignment="1" applyProtection="1">
      <alignment vertical="center"/>
      <protection hidden="1"/>
    </xf>
    <xf numFmtId="0" fontId="20" fillId="2" borderId="62" xfId="0" applyFont="1" applyFill="1" applyBorder="1" applyAlignment="1" applyProtection="1">
      <alignment vertical="center"/>
      <protection hidden="1"/>
    </xf>
    <xf numFmtId="0" fontId="20" fillId="2" borderId="63" xfId="0" applyFont="1" applyFill="1" applyBorder="1" applyAlignment="1" applyProtection="1">
      <alignment vertical="center"/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horizontal="right" vertical="center"/>
      <protection hidden="1"/>
    </xf>
    <xf numFmtId="0" fontId="20" fillId="2" borderId="64" xfId="0" applyFont="1" applyFill="1" applyBorder="1" applyAlignment="1" applyProtection="1">
      <alignment vertical="center"/>
      <protection hidden="1"/>
    </xf>
    <xf numFmtId="0" fontId="23" fillId="2" borderId="48" xfId="0" applyFont="1" applyFill="1" applyBorder="1" applyAlignment="1" applyProtection="1">
      <alignment vertical="center"/>
      <protection hidden="1"/>
    </xf>
    <xf numFmtId="0" fontId="20" fillId="2" borderId="53" xfId="0" applyFont="1" applyFill="1" applyBorder="1" applyAlignment="1" applyProtection="1">
      <alignment vertical="center"/>
      <protection hidden="1"/>
    </xf>
    <xf numFmtId="0" fontId="20" fillId="2" borderId="53" xfId="0" applyFont="1" applyFill="1" applyBorder="1" applyAlignment="1" applyProtection="1">
      <alignment horizontal="right" vertical="center" indent="1"/>
      <protection hidden="1"/>
    </xf>
    <xf numFmtId="0" fontId="20" fillId="2" borderId="41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20" fillId="2" borderId="50" xfId="0" applyFont="1" applyFill="1" applyBorder="1" applyAlignment="1" applyProtection="1">
      <alignment vertical="center"/>
      <protection hidden="1"/>
    </xf>
    <xf numFmtId="0" fontId="20" fillId="2" borderId="41" xfId="0" applyFont="1" applyFill="1" applyBorder="1" applyAlignment="1" applyProtection="1">
      <alignment horizontal="right" vertical="center"/>
      <protection hidden="1"/>
    </xf>
    <xf numFmtId="0" fontId="20" fillId="2" borderId="44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20" fillId="2" borderId="48" xfId="0" applyFont="1" applyFill="1" applyBorder="1" applyAlignment="1" applyProtection="1">
      <alignment vertical="center"/>
      <protection hidden="1"/>
    </xf>
    <xf numFmtId="0" fontId="20" fillId="2" borderId="49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horizontal="right" vertical="center" indent="1"/>
      <protection hidden="1"/>
    </xf>
    <xf numFmtId="0" fontId="20" fillId="2" borderId="45" xfId="0" applyFont="1" applyFill="1" applyBorder="1" applyAlignment="1" applyProtection="1">
      <alignment vertical="center"/>
      <protection hidden="1"/>
    </xf>
    <xf numFmtId="0" fontId="20" fillId="2" borderId="65" xfId="0" applyFont="1" applyFill="1" applyBorder="1" applyAlignment="1" applyProtection="1">
      <alignment vertical="center"/>
      <protection hidden="1"/>
    </xf>
    <xf numFmtId="0" fontId="20" fillId="2" borderId="65" xfId="0" applyFont="1" applyFill="1" applyBorder="1" applyAlignment="1" applyProtection="1">
      <alignment horizontal="right" vertical="center" indent="1"/>
      <protection hidden="1"/>
    </xf>
    <xf numFmtId="0" fontId="28" fillId="2" borderId="63" xfId="0" applyFont="1" applyFill="1" applyBorder="1" applyAlignment="1" applyProtection="1">
      <alignment vertical="center"/>
      <protection hidden="1"/>
    </xf>
    <xf numFmtId="0" fontId="28" fillId="2" borderId="0" xfId="0" applyFont="1" applyFill="1" applyBorder="1" applyAlignment="1" applyProtection="1">
      <alignment vertical="center"/>
      <protection hidden="1"/>
    </xf>
    <xf numFmtId="0" fontId="28" fillId="2" borderId="64" xfId="0" applyFont="1" applyFill="1" applyBorder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1" fontId="28" fillId="2" borderId="23" xfId="0" applyNumberFormat="1" applyFont="1" applyFill="1" applyBorder="1" applyAlignment="1" applyProtection="1">
      <alignment horizontal="center" vertical="center"/>
      <protection hidden="1"/>
    </xf>
    <xf numFmtId="1" fontId="28" fillId="2" borderId="0" xfId="0" applyNumberFormat="1" applyFont="1" applyFill="1" applyBorder="1" applyAlignment="1" applyProtection="1">
      <alignment horizontal="center" vertical="center"/>
      <protection hidden="1"/>
    </xf>
    <xf numFmtId="1" fontId="28" fillId="2" borderId="26" xfId="0" applyNumberFormat="1" applyFont="1" applyFill="1" applyBorder="1" applyAlignment="1" applyProtection="1">
      <alignment horizontal="center" vertical="center"/>
      <protection hidden="1"/>
    </xf>
    <xf numFmtId="0" fontId="28" fillId="2" borderId="23" xfId="0" applyFont="1" applyFill="1" applyBorder="1" applyAlignment="1" applyProtection="1">
      <alignment vertical="center"/>
      <protection hidden="1"/>
    </xf>
    <xf numFmtId="0" fontId="28" fillId="2" borderId="26" xfId="0" applyFont="1" applyFill="1" applyBorder="1" applyAlignment="1" applyProtection="1">
      <alignment vertical="center"/>
      <protection hidden="1"/>
    </xf>
    <xf numFmtId="0" fontId="28" fillId="2" borderId="0" xfId="0" applyFont="1" applyFill="1" applyBorder="1" applyAlignment="1" applyProtection="1">
      <alignment horizontal="left" vertical="center"/>
      <protection hidden="1"/>
    </xf>
    <xf numFmtId="1" fontId="28" fillId="2" borderId="0" xfId="0" applyNumberFormat="1" applyFont="1" applyFill="1" applyBorder="1" applyAlignment="1" applyProtection="1">
      <alignment vertical="center"/>
      <protection hidden="1"/>
    </xf>
    <xf numFmtId="44" fontId="28" fillId="2" borderId="0" xfId="4" applyFont="1" applyFill="1" applyBorder="1" applyAlignment="1" applyProtection="1">
      <alignment horizontal="center" vertical="center"/>
      <protection hidden="1"/>
    </xf>
    <xf numFmtId="44" fontId="29" fillId="2" borderId="0" xfId="4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vertical="center"/>
      <protection hidden="1"/>
    </xf>
    <xf numFmtId="44" fontId="31" fillId="2" borderId="0" xfId="4" applyFont="1" applyFill="1" applyBorder="1" applyAlignment="1" applyProtection="1">
      <alignment horizontal="left" vertical="center"/>
      <protection hidden="1"/>
    </xf>
    <xf numFmtId="44" fontId="28" fillId="2" borderId="21" xfId="4" applyFont="1" applyFill="1" applyBorder="1" applyAlignment="1" applyProtection="1">
      <alignment horizontal="center" vertical="center"/>
      <protection hidden="1"/>
    </xf>
    <xf numFmtId="0" fontId="28" fillId="2" borderId="21" xfId="0" applyFont="1" applyFill="1" applyBorder="1" applyAlignment="1" applyProtection="1">
      <alignment vertical="center"/>
      <protection hidden="1"/>
    </xf>
    <xf numFmtId="44" fontId="29" fillId="2" borderId="21" xfId="4" applyFont="1" applyFill="1" applyBorder="1" applyAlignment="1" applyProtection="1">
      <alignment horizontal="center" vertical="center"/>
      <protection hidden="1"/>
    </xf>
    <xf numFmtId="0" fontId="20" fillId="2" borderId="69" xfId="0" applyFont="1" applyFill="1" applyBorder="1" applyAlignment="1" applyProtection="1">
      <alignment vertical="center"/>
      <protection hidden="1"/>
    </xf>
    <xf numFmtId="0" fontId="20" fillId="2" borderId="70" xfId="0" applyFont="1" applyFill="1" applyBorder="1" applyAlignment="1" applyProtection="1">
      <alignment vertical="center"/>
      <protection hidden="1"/>
    </xf>
    <xf numFmtId="0" fontId="20" fillId="2" borderId="71" xfId="0" applyFont="1" applyFill="1" applyBorder="1" applyAlignment="1" applyProtection="1">
      <alignment vertical="center"/>
      <protection hidden="1"/>
    </xf>
    <xf numFmtId="165" fontId="20" fillId="2" borderId="0" xfId="0" applyNumberFormat="1" applyFont="1" applyFill="1" applyBorder="1" applyAlignment="1" applyProtection="1">
      <alignment vertical="center"/>
      <protection hidden="1"/>
    </xf>
    <xf numFmtId="0" fontId="28" fillId="2" borderId="0" xfId="0" applyFont="1" applyFill="1" applyBorder="1" applyAlignment="1" applyProtection="1">
      <alignment horizontal="right" vertical="center"/>
      <protection hidden="1"/>
    </xf>
    <xf numFmtId="0" fontId="20" fillId="2" borderId="53" xfId="0" applyFont="1" applyFill="1" applyBorder="1" applyAlignment="1" applyProtection="1">
      <alignment horizontal="right" vertical="center"/>
      <protection hidden="1"/>
    </xf>
    <xf numFmtId="171" fontId="0" fillId="2" borderId="5" xfId="0" applyNumberFormat="1" applyFill="1" applyBorder="1" applyAlignment="1" applyProtection="1">
      <alignment vertical="center"/>
      <protection locked="0"/>
    </xf>
    <xf numFmtId="7" fontId="2" fillId="0" borderId="45" xfId="1" applyNumberFormat="1" applyFont="1" applyBorder="1" applyAlignment="1" applyProtection="1">
      <alignment vertical="center"/>
      <protection hidden="1"/>
    </xf>
    <xf numFmtId="7" fontId="2" fillId="0" borderId="6" xfId="1" applyNumberFormat="1" applyFont="1" applyBorder="1" applyAlignment="1" applyProtection="1">
      <alignment vertical="center"/>
      <protection hidden="1"/>
    </xf>
    <xf numFmtId="7" fontId="2" fillId="0" borderId="47" xfId="1" applyNumberFormat="1" applyFont="1" applyBorder="1" applyAlignment="1" applyProtection="1">
      <alignment vertical="center"/>
      <protection hidden="1"/>
    </xf>
    <xf numFmtId="7" fontId="0" fillId="0" borderId="29" xfId="1" applyNumberFormat="1" applyFont="1" applyBorder="1" applyAlignment="1" applyProtection="1">
      <alignment vertical="center"/>
      <protection hidden="1"/>
    </xf>
    <xf numFmtId="7" fontId="0" fillId="0" borderId="5" xfId="1" applyNumberFormat="1" applyFont="1" applyBorder="1" applyAlignment="1" applyProtection="1">
      <alignment vertical="center"/>
      <protection hidden="1"/>
    </xf>
    <xf numFmtId="7" fontId="0" fillId="0" borderId="39" xfId="1" applyNumberFormat="1" applyFont="1" applyBorder="1" applyAlignment="1" applyProtection="1">
      <alignment vertical="center"/>
      <protection hidden="1"/>
    </xf>
    <xf numFmtId="7" fontId="2" fillId="0" borderId="14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171" fontId="0" fillId="2" borderId="5" xfId="0" applyNumberFormat="1" applyFill="1" applyBorder="1" applyAlignment="1" applyProtection="1">
      <alignment horizontal="left" vertical="center"/>
      <protection locked="0"/>
    </xf>
    <xf numFmtId="0" fontId="0" fillId="2" borderId="72" xfId="0" applyFill="1" applyBorder="1" applyAlignment="1" applyProtection="1">
      <alignment horizontal="left" vertical="center"/>
      <protection locked="0"/>
    </xf>
    <xf numFmtId="0" fontId="0" fillId="2" borderId="73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" fontId="0" fillId="0" borderId="0" xfId="0" applyNumberFormat="1" applyBorder="1" applyAlignment="1" applyProtection="1">
      <alignment vertical="center"/>
      <protection locked="0"/>
    </xf>
    <xf numFmtId="172" fontId="0" fillId="0" borderId="0" xfId="0" applyNumberFormat="1" applyAlignment="1" applyProtection="1">
      <alignment horizontal="right" vertical="center" indent="1"/>
      <protection hidden="1"/>
    </xf>
    <xf numFmtId="170" fontId="0" fillId="0" borderId="0" xfId="0" applyNumberFormat="1" applyBorder="1" applyAlignment="1" applyProtection="1">
      <alignment horizontal="right" vertical="center" indent="1"/>
      <protection hidden="1"/>
    </xf>
    <xf numFmtId="172" fontId="0" fillId="0" borderId="0" xfId="1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1" fontId="0" fillId="0" borderId="45" xfId="0" applyNumberFormat="1" applyBorder="1" applyAlignment="1" applyProtection="1">
      <alignment vertical="center"/>
      <protection hidden="1"/>
    </xf>
    <xf numFmtId="1" fontId="0" fillId="0" borderId="6" xfId="0" applyNumberFormat="1" applyBorder="1" applyAlignment="1" applyProtection="1">
      <alignment vertical="center"/>
      <protection hidden="1"/>
    </xf>
    <xf numFmtId="1" fontId="0" fillId="0" borderId="47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74" xfId="0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top" wrapText="1"/>
      <protection hidden="1"/>
    </xf>
    <xf numFmtId="165" fontId="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0" fillId="2" borderId="28" xfId="0" applyFill="1" applyBorder="1" applyAlignment="1" applyProtection="1">
      <alignment horizontal="center" vertical="top" wrapText="1"/>
      <protection locked="0"/>
    </xf>
    <xf numFmtId="0" fontId="0" fillId="2" borderId="29" xfId="0" applyFont="1" applyFill="1" applyBorder="1" applyAlignment="1" applyProtection="1">
      <alignment horizontal="center" vertical="top" wrapText="1"/>
      <protection locked="0"/>
    </xf>
    <xf numFmtId="0" fontId="20" fillId="2" borderId="41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28" fillId="2" borderId="0" xfId="0" applyNumberFormat="1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Border="1" applyAlignment="1" applyProtection="1">
      <alignment horizontal="left" vertical="center"/>
      <protection hidden="1"/>
    </xf>
    <xf numFmtId="0" fontId="28" fillId="2" borderId="50" xfId="0" applyFont="1" applyFill="1" applyBorder="1" applyAlignment="1" applyProtection="1">
      <alignment horizontal="left" vertical="center"/>
      <protection hidden="1"/>
    </xf>
    <xf numFmtId="0" fontId="20" fillId="2" borderId="45" xfId="0" applyFont="1" applyFill="1" applyBorder="1" applyAlignment="1" applyProtection="1">
      <alignment horizontal="left" vertical="center"/>
      <protection hidden="1"/>
    </xf>
    <xf numFmtId="0" fontId="20" fillId="2" borderId="65" xfId="0" applyFont="1" applyFill="1" applyBorder="1" applyAlignment="1" applyProtection="1">
      <alignment horizontal="left" vertical="center"/>
      <protection hidden="1"/>
    </xf>
    <xf numFmtId="1" fontId="20" fillId="2" borderId="0" xfId="0" applyNumberFormat="1" applyFont="1" applyFill="1" applyBorder="1" applyAlignment="1" applyProtection="1">
      <alignment horizontal="left" vertical="center"/>
      <protection hidden="1"/>
    </xf>
    <xf numFmtId="1" fontId="28" fillId="2" borderId="53" xfId="0" applyNumberFormat="1" applyFont="1" applyFill="1" applyBorder="1" applyAlignment="1" applyProtection="1">
      <alignment horizontal="left" vertical="center"/>
      <protection hidden="1"/>
    </xf>
    <xf numFmtId="14" fontId="28" fillId="2" borderId="53" xfId="0" applyNumberFormat="1" applyFont="1" applyFill="1" applyBorder="1" applyAlignment="1" applyProtection="1">
      <alignment horizontal="left" vertical="center"/>
      <protection hidden="1"/>
    </xf>
    <xf numFmtId="0" fontId="20" fillId="2" borderId="53" xfId="0" applyFont="1" applyFill="1" applyBorder="1" applyAlignment="1" applyProtection="1">
      <alignment horizontal="left" vertical="center"/>
      <protection hidden="1"/>
    </xf>
    <xf numFmtId="0" fontId="20" fillId="2" borderId="49" xfId="0" applyFont="1" applyFill="1" applyBorder="1" applyAlignment="1" applyProtection="1">
      <alignment horizontal="left" vertical="center"/>
      <protection hidden="1"/>
    </xf>
    <xf numFmtId="1" fontId="28" fillId="2" borderId="0" xfId="0" applyNumberFormat="1" applyFont="1" applyFill="1" applyBorder="1" applyAlignment="1" applyProtection="1">
      <alignment horizontal="center" vertical="center"/>
      <protection hidden="1"/>
    </xf>
    <xf numFmtId="44" fontId="28" fillId="2" borderId="0" xfId="1" applyFont="1" applyFill="1" applyBorder="1" applyAlignment="1" applyProtection="1">
      <alignment horizontal="center" vertical="center"/>
      <protection hidden="1"/>
    </xf>
    <xf numFmtId="1" fontId="20" fillId="2" borderId="65" xfId="0" applyNumberFormat="1" applyFont="1" applyFill="1" applyBorder="1" applyAlignment="1" applyProtection="1">
      <alignment horizontal="left" vertical="center"/>
      <protection hidden="1"/>
    </xf>
    <xf numFmtId="165" fontId="28" fillId="2" borderId="0" xfId="0" applyNumberFormat="1" applyFont="1" applyFill="1" applyBorder="1" applyAlignment="1" applyProtection="1">
      <alignment horizontal="center" vertical="center"/>
      <protection hidden="1"/>
    </xf>
    <xf numFmtId="165" fontId="28" fillId="2" borderId="65" xfId="0" applyNumberFormat="1" applyFont="1" applyFill="1" applyBorder="1" applyAlignment="1" applyProtection="1">
      <alignment horizontal="center" vertical="center"/>
      <protection hidden="1"/>
    </xf>
    <xf numFmtId="0" fontId="29" fillId="2" borderId="1" xfId="0" applyFont="1" applyFill="1" applyBorder="1" applyAlignment="1" applyProtection="1">
      <alignment horizontal="center" vertical="center" wrapText="1"/>
      <protection hidden="1"/>
    </xf>
    <xf numFmtId="0" fontId="28" fillId="2" borderId="24" xfId="0" applyFont="1" applyFill="1" applyBorder="1" applyAlignment="1" applyProtection="1">
      <alignment horizontal="left" vertical="center"/>
      <protection hidden="1"/>
    </xf>
    <xf numFmtId="1" fontId="28" fillId="2" borderId="24" xfId="0" applyNumberFormat="1" applyFont="1" applyFill="1" applyBorder="1" applyAlignment="1" applyProtection="1">
      <alignment horizontal="center" vertical="center"/>
      <protection hidden="1"/>
    </xf>
    <xf numFmtId="7" fontId="28" fillId="2" borderId="24" xfId="4" applyNumberFormat="1" applyFont="1" applyFill="1" applyBorder="1" applyAlignment="1" applyProtection="1">
      <alignment horizontal="center" vertical="center"/>
      <protection hidden="1"/>
    </xf>
    <xf numFmtId="0" fontId="28" fillId="2" borderId="23" xfId="0" applyFont="1" applyFill="1" applyBorder="1" applyAlignment="1" applyProtection="1">
      <alignment horizontal="left" vertical="center"/>
      <protection hidden="1"/>
    </xf>
    <xf numFmtId="0" fontId="28" fillId="2" borderId="26" xfId="0" applyFont="1" applyFill="1" applyBorder="1" applyAlignment="1" applyProtection="1">
      <alignment horizontal="left" vertical="center"/>
      <protection hidden="1"/>
    </xf>
    <xf numFmtId="169" fontId="28" fillId="2" borderId="0" xfId="0" applyNumberFormat="1" applyFont="1" applyFill="1" applyBorder="1" applyAlignment="1" applyProtection="1">
      <alignment horizontal="center" vertical="center"/>
      <protection hidden="1"/>
    </xf>
    <xf numFmtId="7" fontId="28" fillId="2" borderId="23" xfId="4" applyNumberFormat="1" applyFont="1" applyFill="1" applyBorder="1" applyAlignment="1" applyProtection="1">
      <alignment horizontal="center" vertical="center"/>
      <protection hidden="1"/>
    </xf>
    <xf numFmtId="7" fontId="28" fillId="2" borderId="0" xfId="4" applyNumberFormat="1" applyFont="1" applyFill="1" applyBorder="1" applyAlignment="1" applyProtection="1">
      <alignment horizontal="center" vertical="center"/>
      <protection hidden="1"/>
    </xf>
    <xf numFmtId="7" fontId="28" fillId="2" borderId="26" xfId="4" applyNumberFormat="1" applyFont="1" applyFill="1" applyBorder="1" applyAlignment="1" applyProtection="1">
      <alignment horizontal="center" vertical="center"/>
      <protection hidden="1"/>
    </xf>
    <xf numFmtId="9" fontId="28" fillId="2" borderId="0" xfId="3" applyFont="1" applyFill="1" applyBorder="1" applyAlignment="1" applyProtection="1">
      <alignment horizontal="center" vertical="center"/>
      <protection hidden="1"/>
    </xf>
    <xf numFmtId="0" fontId="28" fillId="2" borderId="2" xfId="0" applyFont="1" applyFill="1" applyBorder="1" applyAlignment="1" applyProtection="1">
      <alignment horizontal="left" vertical="center"/>
      <protection hidden="1"/>
    </xf>
    <xf numFmtId="0" fontId="28" fillId="2" borderId="3" xfId="0" applyFont="1" applyFill="1" applyBorder="1" applyAlignment="1" applyProtection="1">
      <alignment horizontal="left" vertical="center"/>
      <protection hidden="1"/>
    </xf>
    <xf numFmtId="0" fontId="28" fillId="2" borderId="4" xfId="0" applyFont="1" applyFill="1" applyBorder="1" applyAlignment="1" applyProtection="1">
      <alignment horizontal="left" vertical="center"/>
      <protection hidden="1"/>
    </xf>
    <xf numFmtId="1" fontId="28" fillId="2" borderId="1" xfId="0" applyNumberFormat="1" applyFont="1" applyFill="1" applyBorder="1" applyAlignment="1" applyProtection="1">
      <alignment horizontal="center" vertical="center"/>
      <protection hidden="1"/>
    </xf>
    <xf numFmtId="7" fontId="28" fillId="2" borderId="1" xfId="4" applyNumberFormat="1" applyFont="1" applyFill="1" applyBorder="1" applyAlignment="1" applyProtection="1">
      <alignment horizontal="center" vertical="center"/>
      <protection hidden="1"/>
    </xf>
    <xf numFmtId="44" fontId="28" fillId="2" borderId="1" xfId="4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left" vertical="top" wrapText="1"/>
      <protection hidden="1"/>
    </xf>
    <xf numFmtId="44" fontId="28" fillId="2" borderId="0" xfId="4" applyFont="1" applyFill="1" applyBorder="1" applyAlignment="1" applyProtection="1">
      <alignment horizontal="center" vertical="center"/>
      <protection hidden="1"/>
    </xf>
    <xf numFmtId="7" fontId="29" fillId="2" borderId="66" xfId="4" applyNumberFormat="1" applyFont="1" applyFill="1" applyBorder="1" applyAlignment="1" applyProtection="1">
      <alignment horizontal="center" vertical="center"/>
      <protection hidden="1"/>
    </xf>
    <xf numFmtId="44" fontId="29" fillId="2" borderId="67" xfId="4" applyFont="1" applyFill="1" applyBorder="1" applyAlignment="1" applyProtection="1">
      <alignment horizontal="center" vertical="center"/>
      <protection hidden="1"/>
    </xf>
    <xf numFmtId="44" fontId="29" fillId="2" borderId="68" xfId="4" applyFont="1" applyFill="1" applyBorder="1" applyAlignment="1" applyProtection="1">
      <alignment horizontal="center" vertical="center"/>
      <protection hidden="1"/>
    </xf>
    <xf numFmtId="1" fontId="20" fillId="2" borderId="0" xfId="0" applyNumberFormat="1" applyFont="1" applyFill="1" applyBorder="1" applyAlignment="1" applyProtection="1">
      <alignment horizontal="center" vertical="center"/>
      <protection hidden="1"/>
    </xf>
    <xf numFmtId="44" fontId="28" fillId="2" borderId="24" xfId="4" applyFont="1" applyFill="1" applyBorder="1" applyAlignment="1" applyProtection="1">
      <alignment horizontal="center" vertical="center"/>
      <protection hidden="1"/>
    </xf>
    <xf numFmtId="44" fontId="28" fillId="2" borderId="23" xfId="4" applyFont="1" applyFill="1" applyBorder="1" applyAlignment="1" applyProtection="1">
      <alignment horizontal="center" vertical="center"/>
      <protection hidden="1"/>
    </xf>
    <xf numFmtId="44" fontId="28" fillId="2" borderId="26" xfId="4" applyFont="1" applyFill="1" applyBorder="1" applyAlignment="1" applyProtection="1">
      <alignment horizontal="center" vertical="center"/>
      <protection hidden="1"/>
    </xf>
    <xf numFmtId="44" fontId="29" fillId="2" borderId="66" xfId="4" applyFont="1" applyFill="1" applyBorder="1" applyAlignment="1" applyProtection="1">
      <alignment horizontal="center" vertical="center"/>
      <protection hidden="1"/>
    </xf>
    <xf numFmtId="3" fontId="14" fillId="0" borderId="0" xfId="2" applyNumberFormat="1" applyFont="1" applyBorder="1" applyAlignment="1">
      <alignment horizontal="center" vertical="center" wrapText="1"/>
    </xf>
    <xf numFmtId="0" fontId="13" fillId="0" borderId="0" xfId="2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3" fontId="14" fillId="0" borderId="17" xfId="2" applyNumberFormat="1" applyFont="1" applyBorder="1" applyAlignment="1">
      <alignment horizontal="center" vertical="center" wrapText="1"/>
    </xf>
    <xf numFmtId="3" fontId="14" fillId="0" borderId="18" xfId="2" applyNumberFormat="1" applyFont="1" applyBorder="1" applyAlignment="1">
      <alignment horizontal="center" vertical="center" wrapText="1"/>
    </xf>
    <xf numFmtId="0" fontId="13" fillId="0" borderId="19" xfId="2" applyBorder="1" applyAlignment="1">
      <alignment horizontal="center" vertical="center" wrapText="1"/>
    </xf>
    <xf numFmtId="0" fontId="13" fillId="0" borderId="20" xfId="2" applyBorder="1" applyAlignment="1">
      <alignment horizontal="center" vertical="center" wrapText="1"/>
    </xf>
    <xf numFmtId="0" fontId="13" fillId="0" borderId="21" xfId="2" applyBorder="1" applyAlignment="1">
      <alignment horizontal="center" vertical="center" wrapText="1"/>
    </xf>
    <xf numFmtId="0" fontId="13" fillId="0" borderId="22" xfId="2" applyBorder="1" applyAlignment="1">
      <alignment horizontal="center" vertical="center" wrapText="1"/>
    </xf>
    <xf numFmtId="0" fontId="14" fillId="2" borderId="0" xfId="2" quotePrefix="1" applyFont="1" applyFill="1" applyAlignment="1" applyProtection="1">
      <alignment horizontal="center"/>
      <protection locked="0"/>
    </xf>
    <xf numFmtId="0" fontId="14" fillId="2" borderId="0" xfId="2" applyFont="1" applyFill="1" applyAlignment="1" applyProtection="1">
      <alignment horizontal="center"/>
      <protection locked="0"/>
    </xf>
    <xf numFmtId="0" fontId="13" fillId="0" borderId="0" xfId="2" applyBorder="1"/>
    <xf numFmtId="0" fontId="14" fillId="0" borderId="0" xfId="2" applyFont="1" applyBorder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">
    <cellStyle name="Currency" xfId="1" builtinId="4"/>
    <cellStyle name="Currency 2" xfId="4"/>
    <cellStyle name="Hyperlink" xfId="6" builtinId="8"/>
    <cellStyle name="Normal" xfId="0" builtinId="0"/>
    <cellStyle name="Normal 2" xfId="2"/>
    <cellStyle name="Percent" xfId="5" builtinId="5"/>
    <cellStyle name="Percent 2" xfId="3"/>
  </cellStyles>
  <dxfs count="55">
    <dxf>
      <font>
        <color rgb="FF7030A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ont>
        <color rgb="FF0070C0"/>
      </font>
    </dxf>
    <dxf>
      <font>
        <color rgb="FFFF0000"/>
      </font>
    </dxf>
    <dxf>
      <numFmt numFmtId="173" formatCode="#,##0.00\ &quot;€&quot;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65" formatCode="0.0"/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 patternType="solid"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66" formatCode="0&quot; dias úteis&quot;"/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</border>
    </dxf>
    <dxf>
      <numFmt numFmtId="173" formatCode="#,##0.00\ &quot;€&quot;"/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34" formatCode="_-* #,##0.00\ &quot;€&quot;_-;\-* #,##0.00\ &quot;€&quot;_-;_-* &quot;-&quot;??\ &quot;€&quot;_-;_-@_-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74" formatCode="0&quot; dias&quot;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66" formatCode="0&quot; dias úteis&quot;"/>
      <fill>
        <patternFill patternType="none">
          <bgColor auto="1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66" formatCode="0&quot; dias úteis&quot;"/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9" formatCode="dd/mm/yyyy"/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numFmt numFmtId="174" formatCode="0&quot; dias&quot;"/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34411B"/>
        </left>
        <right style="thin">
          <color rgb="FF34411B"/>
        </right>
        <top style="thin">
          <color rgb="FF34411B"/>
        </top>
        <bottom style="thin">
          <color rgb="FF34411B"/>
        </bottom>
        <vertical/>
        <horizontal/>
      </border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34411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ecib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&#225;lculo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&#225;lculo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&#225;lculos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</xdr:colOff>
      <xdr:row>104</xdr:row>
      <xdr:rowOff>47625</xdr:rowOff>
    </xdr:from>
    <xdr:ext cx="184731" cy="264560"/>
    <xdr:sp macro="" textlink="">
      <xdr:nvSpPr>
        <xdr:cNvPr id="3" name="TextBox 2"/>
        <xdr:cNvSpPr txBox="1"/>
      </xdr:nvSpPr>
      <xdr:spPr>
        <a:xfrm>
          <a:off x="564832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PT" sz="1100"/>
        </a:p>
      </xdr:txBody>
    </xdr:sp>
    <xdr:clientData/>
  </xdr:oneCellAnchor>
  <xdr:twoCellAnchor>
    <xdr:from>
      <xdr:col>1</xdr:col>
      <xdr:colOff>19049</xdr:colOff>
      <xdr:row>100</xdr:row>
      <xdr:rowOff>9525</xdr:rowOff>
    </xdr:from>
    <xdr:to>
      <xdr:col>2</xdr:col>
      <xdr:colOff>1266825</xdr:colOff>
      <xdr:row>102</xdr:row>
      <xdr:rowOff>66675</xdr:rowOff>
    </xdr:to>
    <xdr:sp macro="" textlink="">
      <xdr:nvSpPr>
        <xdr:cNvPr id="4" name="Right Arrow 3">
          <a:hlinkClick xmlns:r="http://schemas.openxmlformats.org/officeDocument/2006/relationships" r:id="rId1"/>
        </xdr:cNvPr>
        <xdr:cNvSpPr/>
      </xdr:nvSpPr>
      <xdr:spPr>
        <a:xfrm>
          <a:off x="295274" y="17468850"/>
          <a:ext cx="1314451" cy="438150"/>
        </a:xfrm>
        <a:prstGeom prst="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1100"/>
            <a:t>Ir para o Recibo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5</xdr:col>
      <xdr:colOff>85726</xdr:colOff>
      <xdr:row>1</xdr:row>
      <xdr:rowOff>504824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1" y="161925"/>
          <a:ext cx="1409700" cy="504824"/>
        </a:xfrm>
        <a:prstGeom prst="lef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1100"/>
            <a:t>ir para os cálculos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1</xdr:col>
      <xdr:colOff>409574</xdr:colOff>
      <xdr:row>2</xdr:row>
      <xdr:rowOff>47624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114300" y="0"/>
          <a:ext cx="1181099" cy="504824"/>
        </a:xfrm>
        <a:prstGeom prst="lef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1100"/>
            <a:t>ir para Cálculos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571499</xdr:colOff>
      <xdr:row>0</xdr:row>
      <xdr:rowOff>504824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0" y="0"/>
          <a:ext cx="1181099" cy="504824"/>
        </a:xfrm>
        <a:prstGeom prst="lef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1100"/>
            <a:t>ir para Cálculos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FC100"/>
  <sheetViews>
    <sheetView showGridLines="0" tabSelected="1" workbookViewId="0">
      <selection activeCell="G73" sqref="G73"/>
    </sheetView>
  </sheetViews>
  <sheetFormatPr defaultRowHeight="15"/>
  <cols>
    <col min="1" max="1" width="4.140625" style="1" customWidth="1"/>
    <col min="2" max="2" width="1" style="1" customWidth="1"/>
    <col min="3" max="3" width="41" style="1" customWidth="1"/>
    <col min="4" max="4" width="13.7109375" style="1" customWidth="1"/>
    <col min="5" max="5" width="3" style="1" customWidth="1"/>
    <col min="6" max="6" width="16.42578125" style="1" customWidth="1"/>
    <col min="7" max="7" width="14.85546875" style="1" customWidth="1"/>
    <col min="8" max="8" width="3.7109375" style="1" customWidth="1"/>
    <col min="9" max="9" width="17" style="1" customWidth="1"/>
    <col min="10" max="10" width="26.85546875" style="1" customWidth="1"/>
    <col min="11" max="11" width="12.85546875" style="1" customWidth="1"/>
    <col min="12" max="12" width="30.7109375" style="1" customWidth="1"/>
    <col min="13" max="13" width="13.140625" style="1" bestFit="1" customWidth="1"/>
    <col min="14" max="14" width="1.42578125" style="1" customWidth="1"/>
    <col min="15" max="15" width="9.140625" style="1" customWidth="1"/>
    <col min="16" max="16362" width="9.140625" style="1"/>
    <col min="16363" max="16365" width="9.140625" style="136"/>
    <col min="16366" max="16384" width="9.140625" style="1"/>
  </cols>
  <sheetData>
    <row r="1" spans="2:14 16363:16365">
      <c r="M1" s="161" t="s">
        <v>81</v>
      </c>
    </row>
    <row r="2" spans="2:14 16363:16365" ht="26.25">
      <c r="B2" s="32" t="s">
        <v>0</v>
      </c>
      <c r="M2" s="162" t="s">
        <v>82</v>
      </c>
    </row>
    <row r="3" spans="2:14 16363:16365">
      <c r="XEI3" s="129"/>
      <c r="XEJ3" s="129"/>
      <c r="XEK3" s="129"/>
    </row>
    <row r="4" spans="2:14 16363:16365" ht="30">
      <c r="B4" s="32"/>
      <c r="C4" s="219" t="s">
        <v>135</v>
      </c>
      <c r="D4" s="219"/>
      <c r="E4" s="219"/>
      <c r="F4" s="219" t="s">
        <v>130</v>
      </c>
      <c r="G4" s="219"/>
      <c r="H4" s="219" t="s">
        <v>136</v>
      </c>
      <c r="I4" s="219"/>
      <c r="J4" s="219"/>
      <c r="K4" s="219" t="s">
        <v>137</v>
      </c>
      <c r="L4" s="219" t="s">
        <v>138</v>
      </c>
      <c r="M4" s="218" t="s">
        <v>29</v>
      </c>
      <c r="XEI4" s="129"/>
      <c r="XEJ4" s="129"/>
      <c r="XEK4" s="129"/>
    </row>
    <row r="5" spans="2:14 16363:16365" ht="20.25" customHeight="1">
      <c r="B5" s="32"/>
      <c r="C5" s="233"/>
      <c r="D5" s="234"/>
      <c r="F5" s="220"/>
      <c r="H5" s="233"/>
      <c r="I5" s="235"/>
      <c r="J5" s="236"/>
      <c r="K5" s="221"/>
      <c r="L5" s="222"/>
      <c r="M5" s="40">
        <f ca="1">TODAY()</f>
        <v>40127</v>
      </c>
      <c r="XEI5" s="129"/>
      <c r="XEJ5" s="129"/>
      <c r="XEK5" s="129"/>
    </row>
    <row r="6" spans="2:14 16363:16365" ht="20.25" customHeight="1" thickBot="1">
      <c r="B6" s="32"/>
      <c r="L6" s="39"/>
      <c r="M6" s="128"/>
      <c r="XEI6" s="129"/>
      <c r="XEJ6" s="130" t="s">
        <v>32</v>
      </c>
      <c r="XEK6" s="129"/>
    </row>
    <row r="7" spans="2:14 16363:16365" ht="4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XEI7" s="129"/>
      <c r="XEJ7" s="130" t="s">
        <v>39</v>
      </c>
      <c r="XEK7" s="129"/>
    </row>
    <row r="8" spans="2:14 16363:16365">
      <c r="B8" s="13"/>
      <c r="C8" s="25" t="s">
        <v>63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6"/>
      <c r="XEI8" s="129"/>
      <c r="XEJ8" s="130" t="s">
        <v>42</v>
      </c>
      <c r="XEK8" s="129"/>
    </row>
    <row r="9" spans="2:14 16363:16365">
      <c r="B9" s="13"/>
      <c r="C9" s="14"/>
      <c r="D9" s="14"/>
      <c r="E9" s="14"/>
      <c r="F9" s="26"/>
      <c r="G9" s="26"/>
      <c r="H9" s="26"/>
      <c r="I9" s="14"/>
      <c r="J9" s="14"/>
      <c r="K9" s="14"/>
      <c r="L9" s="14"/>
      <c r="M9" s="14"/>
      <c r="N9" s="16"/>
      <c r="XEI9" s="129"/>
      <c r="XEJ9" s="130" t="s">
        <v>44</v>
      </c>
      <c r="XEK9" s="129"/>
    </row>
    <row r="10" spans="2:14 16363:16365" ht="20.25" customHeight="1">
      <c r="B10" s="13"/>
      <c r="C10" s="14" t="s">
        <v>133</v>
      </c>
      <c r="D10" s="233"/>
      <c r="E10" s="235"/>
      <c r="F10" s="235"/>
      <c r="G10" s="234"/>
      <c r="H10" s="26"/>
      <c r="I10" s="112" t="s">
        <v>156</v>
      </c>
      <c r="J10" s="210"/>
      <c r="K10" s="112" t="s">
        <v>130</v>
      </c>
      <c r="L10" s="210"/>
      <c r="N10" s="16"/>
      <c r="XEI10" s="129"/>
      <c r="XEJ10" s="130" t="s">
        <v>44</v>
      </c>
      <c r="XEK10" s="129"/>
    </row>
    <row r="11" spans="2:14 16363:16365" ht="14.25" customHeight="1">
      <c r="B11" s="13"/>
      <c r="C11" s="14"/>
      <c r="D11" s="113"/>
      <c r="E11" s="14"/>
      <c r="F11" s="14"/>
      <c r="H11" s="15"/>
      <c r="K11" s="14"/>
      <c r="L11" s="14"/>
      <c r="M11" s="14"/>
      <c r="N11" s="16"/>
      <c r="XEI11" s="129"/>
      <c r="XEJ11" s="130"/>
      <c r="XEK11" s="129"/>
    </row>
    <row r="12" spans="2:14 16363:16365" ht="20.25" customHeight="1">
      <c r="B12" s="13"/>
      <c r="C12" s="1" t="s">
        <v>134</v>
      </c>
      <c r="D12" s="233"/>
      <c r="E12" s="235"/>
      <c r="F12" s="235"/>
      <c r="G12" s="234"/>
      <c r="I12" s="112" t="s">
        <v>131</v>
      </c>
      <c r="J12" s="137"/>
      <c r="L12" s="112" t="s">
        <v>132</v>
      </c>
      <c r="M12" s="137"/>
      <c r="N12" s="16"/>
      <c r="XEI12" s="129"/>
      <c r="XEJ12" s="130"/>
      <c r="XEK12" s="129"/>
    </row>
    <row r="13" spans="2:14 16363:16365" ht="14.25" customHeight="1">
      <c r="B13" s="13"/>
      <c r="C13" s="14"/>
      <c r="D13" s="113"/>
      <c r="E13" s="14"/>
      <c r="F13" s="14"/>
      <c r="H13" s="15"/>
      <c r="K13" s="14"/>
      <c r="L13" s="14"/>
      <c r="M13" s="14"/>
      <c r="N13" s="16"/>
      <c r="XEI13" s="129"/>
      <c r="XEJ13" s="130" t="s">
        <v>46</v>
      </c>
      <c r="XEK13" s="129"/>
    </row>
    <row r="14" spans="2:14 16363:16365" ht="19.5" customHeight="1">
      <c r="B14" s="13"/>
      <c r="C14" s="14" t="s">
        <v>74</v>
      </c>
      <c r="D14" s="233"/>
      <c r="E14" s="235"/>
      <c r="F14" s="235"/>
      <c r="G14" s="235"/>
      <c r="H14" s="234"/>
      <c r="I14" s="15" t="s">
        <v>72</v>
      </c>
      <c r="J14" s="233"/>
      <c r="K14" s="234"/>
      <c r="L14" s="19" t="s">
        <v>73</v>
      </c>
      <c r="M14" s="137"/>
      <c r="N14" s="16"/>
      <c r="XEI14" s="129"/>
      <c r="XEJ14" s="130" t="s">
        <v>48</v>
      </c>
      <c r="XEK14" s="129"/>
    </row>
    <row r="15" spans="2:14 16363:16365" ht="14.25" customHeight="1">
      <c r="B15" s="13"/>
      <c r="C15" s="14"/>
      <c r="D15" s="113"/>
      <c r="E15" s="14"/>
      <c r="F15" s="14"/>
      <c r="H15" s="15"/>
      <c r="K15" s="14"/>
      <c r="L15" s="14"/>
      <c r="M15" s="14"/>
      <c r="N15" s="16"/>
      <c r="XEI15" s="129"/>
      <c r="XEJ15" s="129"/>
      <c r="XEK15" s="129"/>
    </row>
    <row r="16" spans="2:14 16363:16365" ht="4.5" customHeight="1" thickBo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XEI16" s="129" t="s">
        <v>64</v>
      </c>
      <c r="XEJ16" s="129"/>
      <c r="XEK16" s="129"/>
    </row>
    <row r="17" spans="2:14 16363:16365" ht="15.75" thickBot="1">
      <c r="XEI17" s="129" t="s">
        <v>65</v>
      </c>
      <c r="XEJ17" s="129">
        <v>0</v>
      </c>
      <c r="XEK17" s="129"/>
    </row>
    <row r="18" spans="2:14 16363:16365" ht="4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XEI18" s="129" t="s">
        <v>66</v>
      </c>
      <c r="XEJ18" s="129">
        <v>1</v>
      </c>
      <c r="XEK18" s="129"/>
    </row>
    <row r="19" spans="2:14 16363:16365" ht="20.25" customHeight="1">
      <c r="B19" s="13"/>
      <c r="C19" s="25" t="s">
        <v>75</v>
      </c>
      <c r="H19" s="14"/>
      <c r="J19" s="15" t="s">
        <v>8</v>
      </c>
      <c r="K19" s="7"/>
      <c r="L19" s="15" t="s">
        <v>9</v>
      </c>
      <c r="M19" s="5" t="str">
        <f>IF(K19="","",ROUND((K19/52)*(12/G21),2))</f>
        <v/>
      </c>
      <c r="N19" s="16"/>
      <c r="XEI19" s="129" t="s">
        <v>67</v>
      </c>
      <c r="XEJ19" s="129">
        <v>2</v>
      </c>
      <c r="XEK19" s="129"/>
    </row>
    <row r="20" spans="2:14 16363:1636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/>
      <c r="XEI20" s="129" t="s">
        <v>68</v>
      </c>
      <c r="XEJ20" s="129">
        <v>3</v>
      </c>
      <c r="XEK20" s="129"/>
    </row>
    <row r="21" spans="2:14 16363:16365" ht="20.25" customHeight="1">
      <c r="B21" s="13"/>
      <c r="C21" s="14" t="s">
        <v>12</v>
      </c>
      <c r="D21" s="6"/>
      <c r="E21" s="14"/>
      <c r="F21" s="15" t="s">
        <v>13</v>
      </c>
      <c r="G21" s="6"/>
      <c r="H21" s="14"/>
      <c r="J21" s="15" t="s">
        <v>10</v>
      </c>
      <c r="K21" s="5" t="str">
        <f>IF(K19="","",M19*D21)</f>
        <v/>
      </c>
      <c r="L21" s="15" t="s">
        <v>11</v>
      </c>
      <c r="M21" s="5" t="str">
        <f>IF(K19="","",ROUND(K19/30,2))</f>
        <v/>
      </c>
      <c r="N21" s="16"/>
      <c r="XEI21" s="129" t="s">
        <v>69</v>
      </c>
      <c r="XEJ21" s="129">
        <v>4</v>
      </c>
      <c r="XEK21" s="129"/>
    </row>
    <row r="22" spans="2:14 16363:16365">
      <c r="B22" s="13"/>
      <c r="C22" s="14"/>
      <c r="D22" s="17" t="str">
        <f>IF($K$19="","",IF(AND($K$19&lt;&gt;"",D21=""),"Inserir o n.º de horas",""))</f>
        <v/>
      </c>
      <c r="E22" s="14"/>
      <c r="F22" s="14"/>
      <c r="G22" s="17" t="str">
        <f>IF($K$19="","",IF(AND($K$19&lt;&gt;"",G21=""),"Inserir o n.º de horas",""))</f>
        <v/>
      </c>
      <c r="H22" s="14"/>
      <c r="I22" s="14"/>
      <c r="J22" s="14"/>
      <c r="K22" s="14"/>
      <c r="L22" s="14"/>
      <c r="M22" s="14"/>
      <c r="N22" s="16"/>
      <c r="XEI22" s="129" t="s">
        <v>70</v>
      </c>
      <c r="XEJ22" s="129">
        <v>5</v>
      </c>
      <c r="XEK22" s="129"/>
    </row>
    <row r="23" spans="2:14 16363:16365" ht="20.25" customHeight="1">
      <c r="B23" s="13"/>
      <c r="C23" s="14" t="s">
        <v>1</v>
      </c>
      <c r="D23" s="2"/>
      <c r="E23" s="14"/>
      <c r="F23" s="15" t="s">
        <v>3</v>
      </c>
      <c r="G23" s="8"/>
      <c r="H23" s="14"/>
      <c r="I23" s="303"/>
      <c r="J23" s="15" t="str">
        <f>IF(G23="","",IF(G23="A termo certo","Data do Fim do Contrato?",""))</f>
        <v/>
      </c>
      <c r="K23" s="18"/>
      <c r="L23" s="15" t="str">
        <f>IF(OR(J23&lt;&gt;"",K27="Parte do Funcionário"),"Quantos dias de pré-aviso?","")</f>
        <v/>
      </c>
      <c r="M23" s="20"/>
      <c r="N23" s="16"/>
      <c r="XEI23" s="129" t="s">
        <v>71</v>
      </c>
      <c r="XEJ23" s="129"/>
      <c r="XEK23" s="129"/>
    </row>
    <row r="24" spans="2:14 16363:16365">
      <c r="B24" s="13"/>
      <c r="C24" s="14"/>
      <c r="D24" s="14"/>
      <c r="E24" s="14"/>
      <c r="F24" s="14"/>
      <c r="G24" s="14"/>
      <c r="H24" s="14"/>
      <c r="I24" s="17" t="str">
        <f>IF(AND($G$23="A Termo Certo",I23=""),"Inserir o tempo do contrato","")</f>
        <v/>
      </c>
      <c r="J24" s="14"/>
      <c r="K24" s="41" t="str">
        <f>IF(AND($G$23="A Termo Certo",K23=""),"Inserir a data de fim do contrato","")</f>
        <v/>
      </c>
      <c r="L24" s="14"/>
      <c r="M24" s="41" t="str">
        <f>IF(AND($G$23="A Termo Certo",M23=""),"Inserir os dias","")</f>
        <v/>
      </c>
      <c r="N24" s="16"/>
      <c r="XEI24" s="129" t="str">
        <f>'Tx.Contributiva Seg.Social'!B6</f>
        <v>Taxa Contributiva - Desempregados Longa Duração</v>
      </c>
      <c r="XEJ24" s="131">
        <f>'Tx.Contributiva Seg.Social'!C6</f>
        <v>0.11</v>
      </c>
      <c r="XEK24" s="132">
        <f>'Tx.Contributiva Seg.Social'!D6</f>
        <v>0</v>
      </c>
    </row>
    <row r="25" spans="2:14 16363:16365" ht="20.25" customHeight="1">
      <c r="B25" s="13"/>
      <c r="C25" s="14" t="s">
        <v>7</v>
      </c>
      <c r="D25" s="2"/>
      <c r="E25" s="14"/>
      <c r="F25" s="237" t="str">
        <f>IF(D25="","",IF(G23="A Termo Certo",IF(K23&lt;D25,"Atenção que o último dia de trabalho efectivo não pode ser depois da data de fim do contrato a termo certo","Tem "&amp;(K23-D25+1)&amp;" dias até ao final do contrato"),""))</f>
        <v/>
      </c>
      <c r="G25" s="237"/>
      <c r="H25" s="237"/>
      <c r="I25" s="14"/>
      <c r="J25" s="14"/>
      <c r="K25" s="14"/>
      <c r="L25" s="15" t="str">
        <f>IF(OR(L23&lt;&gt;"",K27="Parte do Funcionário"),"Data do avisou da não renovação do contrato","")</f>
        <v/>
      </c>
      <c r="M25" s="21"/>
      <c r="N25" s="16"/>
      <c r="XEI25" s="129" t="str">
        <f>'Tx.Contributiva Seg.Social'!B7</f>
        <v>Taxa Contributiva - Jovens 1º Emprego</v>
      </c>
      <c r="XEJ25" s="131">
        <f>'Tx.Contributiva Seg.Social'!C7</f>
        <v>0.11</v>
      </c>
      <c r="XEK25" s="132">
        <f>'Tx.Contributiva Seg.Social'!D7</f>
        <v>0</v>
      </c>
    </row>
    <row r="26" spans="2:14 16363:16365">
      <c r="B26" s="13"/>
      <c r="C26" s="14"/>
      <c r="D26" s="14"/>
      <c r="E26" s="14"/>
      <c r="F26" s="237"/>
      <c r="G26" s="237"/>
      <c r="H26" s="237"/>
      <c r="I26" s="14"/>
      <c r="J26" s="14"/>
      <c r="K26" s="14"/>
      <c r="L26" s="14"/>
      <c r="M26" s="109" t="str">
        <f>IF(AND($G$23="A Termo Certo",M25=""),"Inserir a data do aviso",IF(OR(G23="",K27="",D44=""),"",IF(G23="A Termo Certo",IF((K23-M23)&gt;=M25,"","Esta a dar um pré-aviso de apenas "&amp;(K23-M25+1)&amp;" dias. Excedeu em "&amp;(M23-(K23-M25+1))&amp;" dias o n.º de dias legais para pré-aviso. "),IF(AND(K27="Parte do Funcionário",(D44-M25+1)&lt;M23),"Esta a dar um pré-aviso de apenas "&amp;(D44-M25+1)&amp;" dias. Excedeu em "&amp;(M23-(D25-M25+1))&amp;" dias o n.º de dias legais para pré-aviso.",""))))</f>
        <v/>
      </c>
      <c r="N26" s="16"/>
      <c r="XEI26" s="129" t="str">
        <f>'Tx.Contributiva Seg.Social'!B8</f>
        <v>Taxa Contributiva - Órgãos Estatutários</v>
      </c>
      <c r="XEJ26" s="131">
        <f>'Tx.Contributiva Seg.Social'!C8</f>
        <v>0.1</v>
      </c>
      <c r="XEK26" s="132">
        <f>'Tx.Contributiva Seg.Social'!D8</f>
        <v>0.21249999999999999</v>
      </c>
    </row>
    <row r="27" spans="2:14 16363:16365" ht="20.25" customHeight="1">
      <c r="B27" s="13"/>
      <c r="C27" s="14" t="str">
        <f>IF(G23="A Termo Certo","Quantos dias úteis há entre a data do fim do contrato a termo e o último dia de trabalho efectivo?",IF(G23="Sem Termo","Quantos dias úteis há entre a data que irá terminar o contrato e o último dia de trabalho efectivo?",""))</f>
        <v/>
      </c>
      <c r="D27" s="14"/>
      <c r="E27" s="14"/>
      <c r="F27" s="14"/>
      <c r="G27" s="14"/>
      <c r="H27" s="14"/>
      <c r="I27" s="20"/>
      <c r="J27" s="15" t="s">
        <v>50</v>
      </c>
      <c r="K27" s="242"/>
      <c r="L27" s="15" t="str">
        <f>IF(OR(G23="",K27="",D44=""),"",IF(YEAR(D23)=YEAR(D44),"O contrato iniciou-se neste ano?",""))</f>
        <v/>
      </c>
      <c r="M27" s="38" t="str">
        <f>IF(OR(G23="",K27="",D44=""),"",IF(YEAR(D23)=YEAR(D44),"Sim",""))</f>
        <v/>
      </c>
      <c r="N27" s="16"/>
      <c r="XEI27" s="129" t="str">
        <f>'Tx.Contributiva Seg.Social'!B9</f>
        <v>Taxa Contributiva - Regime Geral - Contrato Sem Termo</v>
      </c>
      <c r="XEJ27" s="131">
        <f>'Tx.Contributiva Seg.Social'!C9</f>
        <v>0.11</v>
      </c>
      <c r="XEK27" s="132">
        <f>'Tx.Contributiva Seg.Social'!D9</f>
        <v>0.23749999999999999</v>
      </c>
    </row>
    <row r="28" spans="2:14 16363:16365">
      <c r="B28" s="13"/>
      <c r="C28" s="14"/>
      <c r="D28" s="14"/>
      <c r="E28" s="14"/>
      <c r="F28" s="26"/>
      <c r="G28" s="37"/>
      <c r="H28" s="26"/>
      <c r="I28" s="14"/>
      <c r="J28" s="14"/>
      <c r="K28" s="243"/>
      <c r="L28" s="14"/>
      <c r="M28" s="19"/>
      <c r="N28" s="16"/>
      <c r="XEI28" s="129" t="str">
        <f>'Tx.Contributiva Seg.Social'!B10</f>
        <v>Taxa Contributiva - Regime Geral - Contrato Com Termo</v>
      </c>
      <c r="XEJ28" s="131">
        <f>'Tx.Contributiva Seg.Social'!C10</f>
        <v>0.11</v>
      </c>
      <c r="XEK28" s="132">
        <f>'Tx.Contributiva Seg.Social'!D10</f>
        <v>0.23749999999999999</v>
      </c>
    </row>
    <row r="29" spans="2:14 16363:16365" ht="4.5" customHeight="1" thickBo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XEI29" s="129" t="str">
        <f>'Tx.Contributiva Seg.Social'!B11</f>
        <v>Taxa Contributiva - Trabalhadores Deficientes</v>
      </c>
      <c r="XEJ29" s="131">
        <f>'Tx.Contributiva Seg.Social'!C11</f>
        <v>0.11</v>
      </c>
      <c r="XEK29" s="132">
        <f>'Tx.Contributiva Seg.Social'!D11</f>
        <v>0.125</v>
      </c>
    </row>
    <row r="30" spans="2:14 16363:16365" ht="15.75" thickBot="1">
      <c r="XEI30" s="129"/>
      <c r="XEJ30" s="131"/>
      <c r="XEK30" s="132"/>
    </row>
    <row r="31" spans="2:14 16363:16365" ht="4.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XEI31" s="129"/>
      <c r="XEJ31" s="129"/>
      <c r="XEK31" s="132"/>
    </row>
    <row r="32" spans="2:14 16363:16365">
      <c r="B32" s="13"/>
      <c r="C32" s="25" t="s">
        <v>17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/>
      <c r="XEI32" s="129"/>
      <c r="XEJ32" s="133"/>
      <c r="XEK32" s="129"/>
    </row>
    <row r="33" spans="2:14 16363:16383">
      <c r="B33" s="13"/>
      <c r="C33" s="14"/>
      <c r="D33" s="14"/>
      <c r="E33" s="14"/>
      <c r="F33" s="26"/>
      <c r="G33" s="26"/>
      <c r="H33" s="26"/>
      <c r="I33" s="14"/>
      <c r="J33" s="14"/>
      <c r="K33" s="14"/>
      <c r="L33" s="14"/>
      <c r="M33" s="14"/>
      <c r="N33" s="16"/>
      <c r="XEI33" s="129"/>
      <c r="XEJ33" s="129"/>
      <c r="XEK33" s="129"/>
    </row>
    <row r="34" spans="2:14 16363:16383" ht="20.25" customHeight="1">
      <c r="B34" s="13"/>
      <c r="C34" s="14" t="s">
        <v>4</v>
      </c>
      <c r="D34" s="3"/>
      <c r="E34" s="14"/>
      <c r="F34" s="15" t="str">
        <f>IF(OR(D34="",D34="Não"),"","N.º de Dias")</f>
        <v/>
      </c>
      <c r="G34" s="4"/>
      <c r="H34" s="14"/>
      <c r="I34" s="14"/>
      <c r="J34" s="14"/>
      <c r="K34" s="14"/>
      <c r="L34" s="14"/>
      <c r="M34" s="14"/>
      <c r="N34" s="16"/>
      <c r="XEI34" s="129"/>
      <c r="XEJ34" s="129"/>
      <c r="XEK34" s="129"/>
    </row>
    <row r="35" spans="2:14 16363:16383">
      <c r="B35" s="13"/>
      <c r="C35" s="14"/>
      <c r="D35" s="14"/>
      <c r="E35" s="14"/>
      <c r="F35" s="19"/>
      <c r="G35" s="14"/>
      <c r="H35" s="14"/>
      <c r="I35" s="14"/>
      <c r="J35" s="14"/>
      <c r="K35" s="14"/>
      <c r="L35" s="14"/>
      <c r="M35" s="14"/>
      <c r="N35" s="16"/>
      <c r="XEI35" s="129"/>
      <c r="XEJ35" s="129"/>
      <c r="XEK35" s="129"/>
    </row>
    <row r="36" spans="2:14 16363:16383" ht="20.25" customHeight="1">
      <c r="B36" s="13"/>
      <c r="C36" s="14" t="s">
        <v>6</v>
      </c>
      <c r="D36" s="3"/>
      <c r="E36" s="14"/>
      <c r="F36" s="15" t="str">
        <f>IF(OR(D36="",D36="Não"),"","N.º de Dias")</f>
        <v/>
      </c>
      <c r="G36" s="4"/>
      <c r="H36" s="14"/>
      <c r="I36" s="238" t="str">
        <f>IF(AND(G34="",G36=""),"",IF(G23="A Termo Certo",IF((I27-(G34+G36))&gt;0,"O funcionário, depois de gozar as suas férias, tem ainda "&amp;(I27-(G34+G36))&amp;" dias sem trabalhar que terão que ser pagos. Se desejar e for possível, altere a data do último dia de trabalho efectivo para mais tarde",IF((I27-(G34+G36))&lt;0,"O funcionário não vai poder gozar "&amp;-(I27-(G34+G36))&amp;" dias de férias - Terá que pagar uma indeminizaçao por férias não gozadas. Se desejar e for possível, altere a data do último dia de trabalho efectivo para mais cedo","O funcionário goza as férias ainda dentro do contrato. Não há nada a pagar em relação às férias")),""))</f>
        <v/>
      </c>
      <c r="J36" s="238"/>
      <c r="K36" s="238"/>
      <c r="L36" s="238"/>
      <c r="M36" s="238"/>
      <c r="N36" s="16"/>
      <c r="XEI36" s="129"/>
      <c r="XEJ36" s="129"/>
      <c r="XEK36" s="129"/>
    </row>
    <row r="37" spans="2:14 16363:16383" ht="15" customHeight="1">
      <c r="B37" s="13"/>
      <c r="C37" s="14"/>
      <c r="D37" s="14"/>
      <c r="E37" s="14"/>
      <c r="F37" s="15"/>
      <c r="G37" s="4"/>
      <c r="H37" s="14"/>
      <c r="I37" s="238"/>
      <c r="J37" s="238"/>
      <c r="K37" s="238"/>
      <c r="L37" s="238"/>
      <c r="M37" s="238"/>
      <c r="N37" s="16"/>
      <c r="XEI37" s="129"/>
      <c r="XEJ37" s="129"/>
      <c r="XEK37" s="129"/>
    </row>
    <row r="38" spans="2:14 16363:16383" ht="20.25" customHeight="1">
      <c r="B38" s="13"/>
      <c r="C38" s="14" t="str">
        <f>IF(OR(K27="Parte do Funcionário",G23="Sem Termo"),"Estes "&amp;G34+G36&amp;" dias úteis, gozados após o último dia de trabalho efectivo, irão terminar em que data?","")</f>
        <v/>
      </c>
      <c r="D38" s="14"/>
      <c r="E38" s="14"/>
      <c r="F38" s="14"/>
      <c r="G38" s="14"/>
      <c r="H38" s="14"/>
      <c r="I38" s="31"/>
      <c r="J38" s="27"/>
      <c r="K38" s="27"/>
      <c r="L38" s="27"/>
      <c r="M38" s="27"/>
      <c r="N38" s="16"/>
      <c r="XEI38" s="129"/>
      <c r="XEJ38" s="129"/>
      <c r="XEK38" s="129"/>
    </row>
    <row r="39" spans="2:14 16363:16383">
      <c r="B39" s="13"/>
      <c r="C39" s="14"/>
      <c r="D39" s="28"/>
      <c r="E39" s="14"/>
      <c r="F39" s="14"/>
      <c r="G39" s="14"/>
      <c r="H39" s="14"/>
      <c r="I39" s="14"/>
      <c r="J39" s="14"/>
      <c r="K39" s="14"/>
      <c r="L39" s="14"/>
      <c r="M39" s="14"/>
      <c r="N39" s="16"/>
      <c r="XEI39" s="129"/>
      <c r="XEJ39" s="129"/>
      <c r="XEK39" s="129"/>
      <c r="XFC39" s="1" t="s">
        <v>159</v>
      </c>
    </row>
    <row r="40" spans="2:14 16363:16383" ht="20.25" customHeight="1">
      <c r="B40" s="13"/>
      <c r="C40" s="14" t="str">
        <f>IF(OR(K27="Parte do Funcionário",G23="Sem Termo"),"Deseja terminar o contrato na data do último dia de trabalho efectivo, e pagar indeminização por férias não gozadas, ou terminar o contrato após o fim das férias?",IF(AND(G23="A Termo Certo",(I27-(G34+G36))&lt;0),"Tem que pagar uma indeminização por férias não gozadas",""))</f>
        <v/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XEI40" s="129"/>
      <c r="XEJ40" s="129"/>
      <c r="XEK40" s="129"/>
      <c r="XFC40" s="1" t="s">
        <v>160</v>
      </c>
    </row>
    <row r="41" spans="2:14 16363:16383" ht="20.25" customHeight="1">
      <c r="B41" s="13"/>
      <c r="C41" s="302" t="s">
        <v>160</v>
      </c>
      <c r="D41" s="29" t="str">
        <f>IF(C40="Tem que pagar uma indeminização por férias não gozadas",-(I27-(G34+G36)),"")</f>
        <v/>
      </c>
      <c r="E41" s="14"/>
      <c r="F41" s="15" t="str">
        <f>IF($D$41&lt;&gt;"","Valor a pagar","")</f>
        <v/>
      </c>
      <c r="G41" s="30" t="str">
        <f>IF($D$41&lt;&gt;"",$D$41*$K$21,"")</f>
        <v/>
      </c>
      <c r="H41" s="14"/>
      <c r="I41" s="14"/>
      <c r="J41" s="14"/>
      <c r="K41" s="14"/>
      <c r="L41" s="14"/>
      <c r="M41" s="14"/>
      <c r="N41" s="16"/>
      <c r="XEI41" s="129"/>
      <c r="XEJ41" s="129"/>
      <c r="XEK41" s="129"/>
      <c r="XFC41" s="1" t="s">
        <v>161</v>
      </c>
    </row>
    <row r="42" spans="2:14 16363:16383" ht="20.25" customHeight="1">
      <c r="B42" s="13"/>
      <c r="C42" s="302"/>
      <c r="D42" s="14"/>
      <c r="E42" s="14"/>
      <c r="G42" s="14"/>
      <c r="H42" s="15" t="str">
        <f>IF($C$41="A data é outra, o funcionário só irá gozar parte das férias, pelos dias restantes será indeminizado","Data que o contrato irá terminar","")</f>
        <v/>
      </c>
      <c r="I42" s="224"/>
      <c r="J42" s="14"/>
      <c r="K42" s="14"/>
      <c r="L42" s="15" t="str">
        <f>IF($C$41="O funcionário só irá gozar parte das férias, pelos dias restantes será indeminizado, a data é outra","N.º de dias úteis que o funcionário não irá gozar","")</f>
        <v/>
      </c>
      <c r="M42" s="20"/>
      <c r="N42" s="16"/>
      <c r="XEI42" s="129"/>
      <c r="XEJ42" s="129"/>
      <c r="XEK42" s="129"/>
    </row>
    <row r="43" spans="2:14 16363:16383">
      <c r="B43" s="13"/>
      <c r="C43" s="14"/>
      <c r="D43" s="28"/>
      <c r="E43" s="14"/>
      <c r="F43" s="14"/>
      <c r="G43" s="14"/>
      <c r="H43" s="14"/>
      <c r="I43" s="17" t="str">
        <f>IF(AND($H$42&lt;&gt;"",I42=""),"Inserir a data","")</f>
        <v/>
      </c>
      <c r="J43" s="14"/>
      <c r="K43" s="14"/>
      <c r="L43" s="14"/>
      <c r="M43" s="14"/>
      <c r="N43" s="16"/>
      <c r="XEI43" s="129"/>
      <c r="XEJ43" s="129"/>
      <c r="XEK43" s="129"/>
    </row>
    <row r="44" spans="2:14 16363:16383" ht="20.25" customHeight="1">
      <c r="B44" s="13"/>
      <c r="C44" s="14" t="s">
        <v>2</v>
      </c>
      <c r="D44" s="9" t="str">
        <f>IF(AND(G23="A Termo Certo",K27&lt;&gt;"Parte do Funcionário"),K23,IF(AND(OR(G23="Sem Termo",K27="Parte do Funcionário"),C41="Terminar o contrato na data do último dia de trabalho efectivo e pagar indeminização por férias não gozadas"),D25,IF(AND(OR(G23="Sem Termo",K27="Parte do Funcionário"),C41="Terminar o contrato após o fim das férias"),I38,IF(AND(OR(G23="Sem Termo",K27="Parte do Funcionário"),C41="A data é outra, o funcionário só irá gozar parte das férias, pelos dias restantes será indeminizado"),I42,""))))</f>
        <v/>
      </c>
      <c r="E44" s="14"/>
      <c r="F44" s="17" t="str">
        <f>IF(D44="","",IF(M26="","","Reveja os dados relativos ao contrato, pois com esta opção "&amp;M26))</f>
        <v/>
      </c>
      <c r="H44" s="14"/>
      <c r="I44" s="14"/>
      <c r="J44" s="14"/>
      <c r="K44" s="14"/>
      <c r="L44" s="14"/>
      <c r="M44" s="14"/>
      <c r="N44" s="16"/>
      <c r="XEI44" s="129"/>
      <c r="XEJ44" s="129"/>
      <c r="XEK44" s="129"/>
    </row>
    <row r="45" spans="2:14 16363:16383">
      <c r="B45" s="13"/>
      <c r="C45" s="14"/>
      <c r="D45" s="17" t="str">
        <f>IF(AND(D44&gt;K23,G23="A Termo Certo"),"Reveja os dados que colocou, pois a data de fimdo contrato a termo tem que ser igual à data de fim que está no contrato",IF(D44=0,"Falta preencher dados para ser possivel calcular a data de fecho do contrato",""))</f>
        <v/>
      </c>
      <c r="E45" s="14"/>
      <c r="F45" s="14"/>
      <c r="G45" s="14"/>
      <c r="H45" s="14"/>
      <c r="I45" s="14"/>
      <c r="J45" s="14"/>
      <c r="K45" s="14"/>
      <c r="L45" s="14"/>
      <c r="M45" s="14"/>
      <c r="N45" s="16"/>
      <c r="XEI45" s="129"/>
      <c r="XEJ45" s="129"/>
      <c r="XEK45" s="129"/>
    </row>
    <row r="46" spans="2:14 16363:16383" ht="20.25" customHeight="1">
      <c r="B46" s="13"/>
      <c r="C46" s="14" t="str">
        <f>IF(D44="","",IF(AND(OR(G23="Sem Termo",K27="Parte do Funcionário"),C41="Terminar o contrato na data do último dia de trabalho efectivo e pagar indeminização por férias não gozadas"),"Teremos que pagar indeminização por férias não gozadas",IF(AND(OR(G23="Sem Termo",K27="Parte do Funcionário"),C41="O funcionário só irá gozar parte das férias, pelos dias restantes será indeminizado, a data é outra"),"Teremos que pagar indeminização por férias não gozadas","")))</f>
        <v/>
      </c>
      <c r="D46" s="14"/>
      <c r="E46" s="14"/>
      <c r="F46" s="14" t="str">
        <f>IF(D44="","",IF(AND(OR(G23="Sem Termo",K27="Parte do Funcionário"),C41="Terminar o contrato na data do último dia de trabalho efectivo e pagar indeminização por férias não gozadas",(I38-D44+1)&gt;0),G34+G36,IF(AND(OR(G23="Sem Termo",K27="Parte do Funcionário"),C41="O funcionário só irá gozar parte das férias, pelos dias restantes será indeminizado, a data é outra"),M42,"")))</f>
        <v/>
      </c>
      <c r="G46" s="14"/>
      <c r="H46" s="15" t="str">
        <f>IF(D44="","",IF(AND(OR(G23="Sem Termo",K27="Parte do Funcionário"),C41="Terminar o contrato na data do último dia de trabalho efectivo e pagar indeminização por férias não gozadas"),"No valor de",IF(AND(OR(G23="Sem Termo",K27="Parte do Funcionário"),C41="O funcionário só irá gozar parte das férias, pelos dias restantes será indeminizado, a data é outra"),"No valor de","")))</f>
        <v/>
      </c>
      <c r="I46" s="30" t="str">
        <f>IF(D44="","",IF(AND(OR(G23="Sem Termo",K27="Parte do Funcionário"),C41="Terminar o contrato na data do último dia de trabalho efectivo e pagar indeminização por férias não gozadas",(I38-D44+1)&gt;0),F46*K21*3,IF(AND(OR(G23="Sem Termo",K27="Parte do Funcionário"),C41="O funcionário só irá gozar parte das férias, pelos dias restantes será indeminizado, a data é outra"),F46*K21*3,"")))</f>
        <v/>
      </c>
      <c r="L46" s="14"/>
      <c r="M46" s="14"/>
      <c r="N46" s="16"/>
      <c r="XEI46" s="129"/>
      <c r="XEJ46" s="129"/>
      <c r="XEK46" s="129"/>
    </row>
    <row r="47" spans="2:14 16363:16383">
      <c r="B47" s="13"/>
      <c r="C47" s="14"/>
      <c r="D47" s="14"/>
      <c r="E47" s="14"/>
      <c r="F47" s="26"/>
      <c r="G47" s="26"/>
      <c r="H47" s="26"/>
      <c r="I47" s="14"/>
      <c r="J47" s="14"/>
      <c r="K47" s="14"/>
      <c r="L47" s="14"/>
      <c r="M47" s="14"/>
      <c r="N47" s="16"/>
      <c r="XEI47" s="129"/>
      <c r="XEJ47" s="129"/>
      <c r="XEK47" s="129"/>
    </row>
    <row r="48" spans="2:14 16363:16383" ht="4.5" customHeight="1" thickBo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XEI48" s="129"/>
      <c r="XEJ48" s="129"/>
      <c r="XEK48" s="129"/>
    </row>
    <row r="49" spans="2:14 16363:16365" ht="15.75" thickBot="1">
      <c r="XEI49" s="129"/>
      <c r="XEJ49" s="129"/>
      <c r="XEK49" s="129"/>
    </row>
    <row r="50" spans="2:14 16363:16365" ht="4.5" customHeight="1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XEI50" s="129"/>
      <c r="XEJ50" s="129"/>
      <c r="XEK50" s="129"/>
    </row>
    <row r="51" spans="2:14 16363:16365">
      <c r="B51" s="13"/>
      <c r="C51" s="25" t="s">
        <v>18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XEI51" s="129"/>
      <c r="XEJ51" s="129"/>
      <c r="XEK51" s="129"/>
    </row>
    <row r="52" spans="2:14 16363:16365">
      <c r="B52" s="13"/>
      <c r="C52" s="14"/>
      <c r="D52" s="14"/>
      <c r="E52" s="14"/>
      <c r="F52" s="26"/>
      <c r="G52" s="26"/>
      <c r="H52" s="26"/>
      <c r="I52" s="14"/>
      <c r="J52" s="14"/>
      <c r="K52" s="14"/>
      <c r="L52" s="14"/>
      <c r="M52" s="14"/>
      <c r="N52" s="16"/>
      <c r="XEI52" s="129"/>
      <c r="XEJ52" s="129"/>
      <c r="XEK52" s="129"/>
    </row>
    <row r="53" spans="2:14 16363:16365" ht="20.25" customHeight="1">
      <c r="B53" s="13"/>
      <c r="C53" s="14" t="s">
        <v>19</v>
      </c>
      <c r="D53" s="3"/>
      <c r="E53" s="14"/>
      <c r="F53" s="15" t="str">
        <f>IF(OR(D53="",D53="Não"),"","Quantos Dias?")</f>
        <v/>
      </c>
      <c r="G53" s="4"/>
      <c r="H53" s="14"/>
      <c r="I53" s="14"/>
      <c r="J53" s="15" t="str">
        <f>IF(G53="","","No valor de")</f>
        <v/>
      </c>
      <c r="K53" s="30" t="str">
        <f>IF(G53="","",G53*$K$21)</f>
        <v/>
      </c>
      <c r="L53" s="14"/>
      <c r="M53" s="14"/>
      <c r="N53" s="16"/>
      <c r="XEI53" s="129"/>
      <c r="XEJ53" s="129"/>
      <c r="XEK53" s="129"/>
    </row>
    <row r="54" spans="2:14 16363:16365">
      <c r="B54" s="13"/>
      <c r="C54" s="14"/>
      <c r="D54" s="14"/>
      <c r="E54" s="14"/>
      <c r="F54" s="19"/>
      <c r="G54" s="37" t="str">
        <f>IF(OR($D53="",$D53="Não"),"",IF(G53="","Falta preencher o n.º de dias úteis",""))</f>
        <v/>
      </c>
      <c r="H54" s="14"/>
      <c r="I54" s="14"/>
      <c r="J54" s="14"/>
      <c r="K54" s="14"/>
      <c r="L54" s="14"/>
      <c r="M54" s="14"/>
      <c r="N54" s="16"/>
      <c r="XEI54" s="129"/>
      <c r="XEJ54" s="134"/>
      <c r="XEK54" s="134"/>
    </row>
    <row r="55" spans="2:14 16363:16365" ht="20.25" customHeight="1">
      <c r="B55" s="13"/>
      <c r="C55" s="14" t="s">
        <v>20</v>
      </c>
      <c r="D55" s="3"/>
      <c r="E55" s="14"/>
      <c r="F55" s="15" t="str">
        <f>IF(OR(D55="",D55="Não"),"","Quantos Dias?")</f>
        <v/>
      </c>
      <c r="G55" s="4"/>
      <c r="H55" s="14"/>
      <c r="I55" s="14"/>
      <c r="J55" s="15" t="str">
        <f>IF(G55="","","No valor de")</f>
        <v/>
      </c>
      <c r="K55" s="30" t="str">
        <f>IF(K19="","",IF(G55="","",G55*$K$21))</f>
        <v/>
      </c>
      <c r="L55" s="14"/>
      <c r="M55" s="14"/>
      <c r="N55" s="16"/>
      <c r="XEI55" s="129"/>
      <c r="XEJ55" s="129"/>
      <c r="XEK55" s="129"/>
    </row>
    <row r="56" spans="2:14 16363:16365">
      <c r="B56" s="13"/>
      <c r="C56" s="14"/>
      <c r="D56" s="14"/>
      <c r="E56" s="14"/>
      <c r="F56" s="26"/>
      <c r="G56" s="37" t="str">
        <f>IF(OR($D55="",$D55="Não"),"",IF(G55="","Falta preencher o n.º de dias úteis",""))</f>
        <v/>
      </c>
      <c r="H56" s="26"/>
      <c r="I56" s="14"/>
      <c r="J56" s="14"/>
      <c r="K56" s="37" t="str">
        <f>IF(OR($D55="",$D55="Não"),"",IF(AND(J55&lt;&gt;"",$K$19=""),"Falta preencher o vencimento médio mensal dos últimos 12 meses",""))</f>
        <v/>
      </c>
      <c r="L56" s="14"/>
      <c r="M56" s="14"/>
      <c r="N56" s="16"/>
      <c r="XEI56" s="129"/>
      <c r="XEJ56" s="129"/>
      <c r="XEK56" s="129"/>
    </row>
    <row r="57" spans="2:14 16363:16365" ht="4.5" customHeight="1" thickBot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XEI57" s="129"/>
      <c r="XEJ57" s="129"/>
      <c r="XEK57" s="129"/>
    </row>
    <row r="58" spans="2:14 16363:16365" ht="15.75" thickBot="1">
      <c r="XEI58" s="129"/>
      <c r="XEJ58" s="129"/>
      <c r="XEK58" s="135"/>
    </row>
    <row r="59" spans="2:14 16363:16365" ht="4.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  <c r="XEI59" s="129"/>
      <c r="XEJ59" s="134"/>
      <c r="XEK59" s="134"/>
    </row>
    <row r="60" spans="2:14 16363:16365">
      <c r="B60" s="13"/>
      <c r="C60" s="25" t="s">
        <v>23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6"/>
      <c r="XEI60" s="129"/>
      <c r="XEJ60" s="129"/>
      <c r="XEK60" s="129"/>
    </row>
    <row r="61" spans="2:14 16363:16365">
      <c r="B61" s="13"/>
      <c r="C61" s="14"/>
      <c r="D61" s="14"/>
      <c r="E61" s="14"/>
      <c r="F61" s="26"/>
      <c r="G61" s="26"/>
      <c r="H61" s="26"/>
      <c r="I61" s="14"/>
      <c r="J61" s="14"/>
      <c r="K61" s="14"/>
      <c r="L61" s="14"/>
      <c r="M61" s="14"/>
      <c r="N61" s="16"/>
      <c r="XEI61" s="129"/>
      <c r="XEJ61" s="129"/>
      <c r="XEK61" s="129"/>
    </row>
    <row r="62" spans="2:14 16363:16365" ht="20.25" customHeight="1">
      <c r="B62" s="13"/>
      <c r="C62" s="14" t="s">
        <v>24</v>
      </c>
      <c r="D62" s="3"/>
      <c r="E62" s="14"/>
      <c r="F62" s="15" t="str">
        <f>IF(OR(D62="",D62="Não"),"","De")</f>
        <v/>
      </c>
      <c r="G62" s="36"/>
      <c r="H62" s="15" t="str">
        <f>IF(OR(D62="",D62="Não"),"","a")</f>
        <v/>
      </c>
      <c r="I62" s="36"/>
      <c r="J62" s="15" t="str">
        <f>IF(OR(D62="",D62="Não"),"","Quantos Dias?")</f>
        <v/>
      </c>
      <c r="K62" s="33" t="str">
        <f>IF(OR(D62="",D62="Não"),"",ROUND((I62-G62+1)*30/365,1))</f>
        <v/>
      </c>
      <c r="L62" s="15" t="str">
        <f>IF(K62="","","No valor de")</f>
        <v/>
      </c>
      <c r="M62" s="30" t="str">
        <f>IF(K62="","",K62*$M$21)</f>
        <v/>
      </c>
      <c r="N62" s="16"/>
      <c r="XEI62" s="129"/>
      <c r="XEJ62" s="129"/>
      <c r="XEK62" s="129"/>
    </row>
    <row r="63" spans="2:14 16363:16365">
      <c r="B63" s="13"/>
      <c r="C63" s="14"/>
      <c r="D63" s="14"/>
      <c r="E63" s="14"/>
      <c r="G63" s="34" t="str">
        <f>IF(OR($D62="",$D62="Não"),"","Falta preencher a data de inicio")</f>
        <v/>
      </c>
      <c r="H63" s="14"/>
      <c r="I63" s="35" t="str">
        <f>IF(OR($D62="",$D62="Não"),"","Falta preencher a data de fim de período")</f>
        <v/>
      </c>
      <c r="J63" s="19"/>
      <c r="K63" s="14"/>
      <c r="L63" s="14"/>
      <c r="M63" s="14"/>
      <c r="N63" s="16"/>
      <c r="XEI63" s="129"/>
      <c r="XEJ63" s="134"/>
      <c r="XEK63" s="129"/>
    </row>
    <row r="64" spans="2:14 16363:16365" ht="20.25" customHeight="1">
      <c r="B64" s="13"/>
      <c r="C64" s="14" t="s">
        <v>25</v>
      </c>
      <c r="D64" s="3"/>
      <c r="E64" s="14"/>
      <c r="F64" s="15" t="str">
        <f>IF(OR(D64="",D64="Não"),"","De")</f>
        <v/>
      </c>
      <c r="G64" s="36"/>
      <c r="H64" s="15" t="str">
        <f>IF(OR(D64="",D64="Não"),"","a")</f>
        <v/>
      </c>
      <c r="I64" s="36" t="str">
        <f>D44</f>
        <v/>
      </c>
      <c r="J64" s="15" t="str">
        <f>IF(OR(D64="",D64="Não"),"","Quantos Dias?")</f>
        <v/>
      </c>
      <c r="K64" s="33" t="str">
        <f>IF(OR(D64="",D64="Não"),"",ROUND((I64-G64+1)*30/365,1))</f>
        <v/>
      </c>
      <c r="L64" s="15" t="str">
        <f>IF(K64="","","No valor de")</f>
        <v/>
      </c>
      <c r="M64" s="30" t="str">
        <f>IF(K64="","",K64*$M$21)</f>
        <v/>
      </c>
      <c r="N64" s="16"/>
    </row>
    <row r="65" spans="2:14 16363:16365">
      <c r="B65" s="13"/>
      <c r="C65" s="14"/>
      <c r="D65" s="14"/>
      <c r="E65" s="14"/>
      <c r="G65" s="37" t="str">
        <f>IF(OR($D64="",$D64="Não"),"",IF(G64="","Falta preencher a data de inicio",""))</f>
        <v/>
      </c>
      <c r="H65" s="14"/>
      <c r="I65" s="37" t="str">
        <f>IF(OR($D64="",$D64="Não"),"",IF(I64="","Falta preencher a data de fim de período",""))</f>
        <v/>
      </c>
      <c r="J65" s="19"/>
      <c r="K65" s="14"/>
      <c r="L65" s="14"/>
      <c r="M65" s="14"/>
      <c r="N65" s="16"/>
    </row>
    <row r="66" spans="2:14 16363:16365" ht="4.5" customHeight="1" thickBot="1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4"/>
    </row>
    <row r="67" spans="2:14 16363:16365" ht="15.75" thickBot="1">
      <c r="XEI67" s="129">
        <f>'Tx.Contributiva Seg.Social'!B1</f>
        <v>0</v>
      </c>
      <c r="XEJ67" s="131">
        <f>'Tx.Contributiva Seg.Social'!C1</f>
        <v>0</v>
      </c>
      <c r="XEK67" s="132">
        <f>'Tx.Contributiva Seg.Social'!D1</f>
        <v>0</v>
      </c>
    </row>
    <row r="68" spans="2:14 16363:16365" ht="4.5" customHeight="1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XEI68" s="129" t="str">
        <f>'Tx.Contributiva Seg.Social'!B2</f>
        <v>TAXAS CONTRIBUTIVAS DA SEGURANÇA SOCIAL:</v>
      </c>
      <c r="XEJ68" s="131">
        <f>'Tx.Contributiva Seg.Social'!C2</f>
        <v>0</v>
      </c>
      <c r="XEK68" s="132">
        <f>'Tx.Contributiva Seg.Social'!D2</f>
        <v>0</v>
      </c>
    </row>
    <row r="69" spans="2:14 16363:16365">
      <c r="B69" s="13"/>
      <c r="C69" s="25" t="s">
        <v>157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6"/>
      <c r="XEI69" s="129">
        <f>'Tx.Contributiva Seg.Social'!B3</f>
        <v>0</v>
      </c>
      <c r="XEJ69" s="131">
        <f>'Tx.Contributiva Seg.Social'!C3</f>
        <v>0</v>
      </c>
      <c r="XEK69" s="132">
        <f>'Tx.Contributiva Seg.Social'!D3</f>
        <v>0</v>
      </c>
    </row>
    <row r="70" spans="2:14 16363:16365">
      <c r="B70" s="13"/>
      <c r="C70" s="14"/>
      <c r="D70" s="14"/>
      <c r="E70" s="14"/>
      <c r="F70" s="26"/>
      <c r="G70" s="26"/>
      <c r="H70" s="26"/>
      <c r="I70" s="14"/>
      <c r="J70" s="14"/>
      <c r="K70" s="14"/>
      <c r="L70" s="14"/>
      <c r="M70" s="14"/>
      <c r="N70" s="16"/>
      <c r="XEI70" s="129">
        <f>'Tx.Contributiva Seg.Social'!B4</f>
        <v>0</v>
      </c>
      <c r="XEJ70" s="131">
        <f>'Tx.Contributiva Seg.Social'!C4</f>
        <v>0</v>
      </c>
      <c r="XEK70" s="132">
        <f>'Tx.Contributiva Seg.Social'!D4</f>
        <v>0</v>
      </c>
    </row>
    <row r="71" spans="2:14 16363:16365" ht="20.25" customHeight="1">
      <c r="B71" s="13"/>
      <c r="C71" s="14" t="str">
        <f>IF(OR($G$23="",$K$27=""),"",IF(AND($G$23="A Termo Certo",$K$27="Parte da Empresa"),"A não renovação do contrato a termo certo é por parte da empresa, existirá pagamento de indeminização ao funcionário",IF(AND($G$23="Sem Termo",$K$27="Mútuo Acordo"),"A rescisão do contrato sem termo é por Mútuo Acordo, terá que se calcular o pagamento de indeminização que foi negociada com funcionário",IF(AND($G$23="Sem Termo",$K$27="Parte da Empresa"),"A rescisão do contrato sem termo é é por parte da empresa, logo só é possível se houve um despedimento por justa causa, assim sendo não existirá pagamento de indeminização ao funcionário. Se não for o caso, reveja os dados que colocou",IF(AND($G$23="A Termo Certo",$K$27="Mútuo Acordo"),"Não existe a figura da não renovação do contrato a termo certo por mútuo acórdo. Reveja os dados.",IF($K$27="Parte do Funcionário","A rescisão do contrato é por parte do funcionário, assim sendo não existirá pagamento de indeminização ao funcionário","?"))))))</f>
        <v/>
      </c>
      <c r="D71" s="14"/>
      <c r="E71" s="14"/>
      <c r="F71" s="14"/>
      <c r="G71" s="14"/>
      <c r="H71" s="14"/>
      <c r="I71" s="14"/>
      <c r="K71" s="14"/>
      <c r="L71" s="15"/>
      <c r="M71" s="110"/>
      <c r="N71" s="16"/>
      <c r="XEI71" s="129" t="str">
        <f>'Tx.Contributiva Seg.Social'!B5</f>
        <v>Descrição</v>
      </c>
      <c r="XEJ71" s="131" t="str">
        <f>'Tx.Contributiva Seg.Social'!C5</f>
        <v>Trabalhadores</v>
      </c>
      <c r="XEK71" s="132" t="str">
        <f>'Tx.Contributiva Seg.Social'!D5</f>
        <v>Empregadores</v>
      </c>
    </row>
    <row r="72" spans="2:14 16363:16365">
      <c r="B72" s="13"/>
      <c r="C72" s="14"/>
      <c r="D72" s="14"/>
      <c r="E72" s="14"/>
      <c r="F72" s="14"/>
      <c r="G72" s="41"/>
      <c r="H72" s="14"/>
      <c r="I72" s="41"/>
      <c r="J72" s="19"/>
      <c r="K72" s="14"/>
      <c r="L72" s="14"/>
      <c r="M72" s="14"/>
      <c r="N72" s="16"/>
      <c r="XEI72" s="129" t="str">
        <f>'Tx.Contributiva Seg.Social'!B6</f>
        <v>Taxa Contributiva - Desempregados Longa Duração</v>
      </c>
      <c r="XEJ72" s="131">
        <f>'Tx.Contributiva Seg.Social'!C6</f>
        <v>0.11</v>
      </c>
      <c r="XEK72" s="132">
        <f>'Tx.Contributiva Seg.Social'!D6</f>
        <v>0</v>
      </c>
    </row>
    <row r="73" spans="2:14 16363:16365" ht="20.25" customHeight="1">
      <c r="B73" s="13"/>
      <c r="C73" s="239" t="str">
        <f>IF(C71="","",IF(AND($G$23="A Termo Certo",$K$27="Parte da Empresa"),"Indeminização de 3 dias úteis por cada mês efectivo de trabalho",IF(AND($G$23="Sem Termo",$K$27="Mútuo Acordo"),"","")))</f>
        <v/>
      </c>
      <c r="D73" s="225" t="str">
        <f>IF(C73="","",IF(AND($G$23="A Termo Certo",$K$27="Parte da Empresa"),ROUND((D44-D23)/30,0),"?"))</f>
        <v/>
      </c>
      <c r="E73" s="14"/>
      <c r="F73" s="226" t="str">
        <f>IF(C71="","",IF(AND($G$23="A Termo Certo",$K$27="Parte da Empresa"),"Meses que faltou",IF(AND($G$23="Sem Termo",$K$27="Mútuo Acordo"),"Quantos meses","")))</f>
        <v/>
      </c>
      <c r="G73" s="227"/>
      <c r="I73" s="226" t="str">
        <f>IF(C71="","",IF(AND($G$23="A Termo Certo",$K$27="Parte da Empresa"),"N.º Dias",IF(AND($G$23="Sem Termo",$K$27="Mútuo Acordo"),"","")))</f>
        <v/>
      </c>
      <c r="J73" s="29" t="str">
        <f>IF(C71="","",IF(AND($G$23="A Termo Certo",$K$27="Parte da Empresa"),(D73-G73)*3,IF(AND($G$23="Sem Termo",$K$27="Mútuo Acordo"),"Factor de Multiplicação","")))</f>
        <v/>
      </c>
      <c r="K73" s="232"/>
      <c r="L73" s="226" t="str">
        <f>IF(C71="","",IF(AND($G$23="A Termo Certo",$K$27="Parte da Empresa"),"Valor a Pagar",IF(AND($G$23="Sem Termo",$K$27="Mútuo Acordo"),"Valor a Pagar","")))</f>
        <v/>
      </c>
      <c r="M73" s="30" t="str">
        <f>IF(C71="","",IF(AND($G$23="A Termo Certo",$I$23="&lt;= 6 meses",$K$27="Parte da Empresa"),(D73-G73)*K21*3,IF(AND($G$23="A Termo Certo",$I$23="&gt; 6 meses",$K$27="Parte da Empresa"),(D73-G73)*K21*2,IF(AND($G$23="Sem Termo",$K$27="Mútuo Acordo"),ROUND(G73*K73*K19,2),""))))</f>
        <v/>
      </c>
      <c r="N73" s="16"/>
      <c r="XEI73" s="129" t="str">
        <f>'Tx.Contributiva Seg.Social'!B7</f>
        <v>Taxa Contributiva - Jovens 1º Emprego</v>
      </c>
      <c r="XEJ73" s="131">
        <f>'Tx.Contributiva Seg.Social'!C7</f>
        <v>0.11</v>
      </c>
      <c r="XEK73" s="132">
        <f>'Tx.Contributiva Seg.Social'!D7</f>
        <v>0</v>
      </c>
    </row>
    <row r="74" spans="2:14 16363:16365" ht="24.75" customHeight="1">
      <c r="B74" s="13"/>
      <c r="C74" s="239"/>
      <c r="D74" s="14"/>
      <c r="E74" s="14"/>
      <c r="F74" s="240" t="str">
        <f>IF(F73="Meses que faltou","Se o funcionário esteve algum mês sem trabalhar coloque aqui (não conta faltas e licenças que contêm como trabalho efectivo, como por exemplo a parentalidade).",IF(F73="Quantos meses","Coloque aqui o n.º de meses de vencimento que acordou a pagar ao funcionário. Por lei terá direito a pelo menos "&amp;ROUND((D44-D23)/30,0)&amp;" meses",""))</f>
        <v/>
      </c>
      <c r="G74" s="240"/>
      <c r="H74" s="240"/>
      <c r="I74" s="41"/>
      <c r="J74" s="241" t="str">
        <f>IF(C71="","",IF(AND($G$23="A Termo Certo",$K$27="Parte da Empresa"),"",IF(AND($G$23="Sem Termo",$K$27="Mútuo Acordo"),"Coloque aqui o Factor de Multiplicação acordado com o funcionário (=n.º de salários por mês de trabalho)","")))</f>
        <v/>
      </c>
      <c r="K74" s="241"/>
      <c r="L74" s="14"/>
      <c r="M74" s="228" t="str">
        <f>IF(C71="","",IF(AND($G$23="A Termo Certo",$K$27="Parte da Empresa"),"",IF(AND($G$23="Sem Termo",$K$27="Mútuo Acordo",M73&gt;G73*1.5*K19),"Excede o montante de "&amp;ROUND(G73*1.5*K19,2)&amp;" que é isento de IRS","")))</f>
        <v/>
      </c>
      <c r="N74" s="16"/>
      <c r="XEI74" s="129" t="str">
        <f>'Tx.Contributiva Seg.Social'!B8</f>
        <v>Taxa Contributiva - Órgãos Estatutários</v>
      </c>
      <c r="XEJ74" s="131">
        <f>'Tx.Contributiva Seg.Social'!C8</f>
        <v>0.1</v>
      </c>
      <c r="XEK74" s="132">
        <f>'Tx.Contributiva Seg.Social'!D8</f>
        <v>0.21249999999999999</v>
      </c>
    </row>
    <row r="75" spans="2:14 16363:16365" ht="20.25" customHeight="1">
      <c r="B75" s="13"/>
      <c r="C75" s="14"/>
      <c r="D75" s="113"/>
      <c r="E75" s="14"/>
      <c r="F75" s="240"/>
      <c r="G75" s="240"/>
      <c r="H75" s="240"/>
      <c r="I75" s="223"/>
      <c r="J75" s="241"/>
      <c r="K75" s="241"/>
      <c r="L75" s="15" t="str">
        <f>IF(C71="","",IF(AND($G$23="A Termo Certo",$K$27="Parte da Empresa"),"",IF(AND($G$23="Sem Termo",$K$27="Mútuo Acordo"),"Valor com desconto de IRS","")))</f>
        <v/>
      </c>
      <c r="M75" s="14" t="str">
        <f>IF(C71="","",IF(AND($G$23="A Termo Certo",$K$27="Parte da Empresa"),"",IF(AND($G$23="Sem Termo",$K$27="Mútuo Acordo",M73&gt;G73*1.5*K19),M73-ROUND(ROUND((D44-D23)/30,0)*1.5*K19,2),IF(AND($G$23="Sem Termo",$K$27="Mútuo Acordo",M73&lt;=G73*1.5*K19),0,""))))</f>
        <v/>
      </c>
      <c r="N75" s="16"/>
      <c r="XEI75" s="129" t="str">
        <f>'Tx.Contributiva Seg.Social'!B9</f>
        <v>Taxa Contributiva - Regime Geral - Contrato Sem Termo</v>
      </c>
      <c r="XEJ75" s="131">
        <f>'Tx.Contributiva Seg.Social'!C9</f>
        <v>0.11</v>
      </c>
      <c r="XEK75" s="132">
        <f>'Tx.Contributiva Seg.Social'!D9</f>
        <v>0.23749999999999999</v>
      </c>
    </row>
    <row r="76" spans="2:14 16363:16365" ht="14.25" customHeight="1">
      <c r="B76" s="13"/>
      <c r="C76" s="14"/>
      <c r="D76" s="113"/>
      <c r="E76" s="14"/>
      <c r="F76" s="14"/>
      <c r="H76" s="15"/>
      <c r="K76" s="14"/>
      <c r="L76" s="14"/>
      <c r="M76" s="14"/>
      <c r="N76" s="16"/>
      <c r="XEI76" s="129" t="str">
        <f>'Tx.Contributiva Seg.Social'!B10</f>
        <v>Taxa Contributiva - Regime Geral - Contrato Com Termo</v>
      </c>
      <c r="XEJ76" s="131">
        <f>'Tx.Contributiva Seg.Social'!C10</f>
        <v>0.11</v>
      </c>
      <c r="XEK76" s="132">
        <f>'Tx.Contributiva Seg.Social'!D10</f>
        <v>0.23749999999999999</v>
      </c>
    </row>
    <row r="77" spans="2:14 16363:16365" ht="4.5" customHeight="1" thickBo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4"/>
      <c r="XEI77" s="129" t="str">
        <f>'Tx.Contributiva Seg.Social'!B11</f>
        <v>Taxa Contributiva - Trabalhadores Deficientes</v>
      </c>
      <c r="XEJ77" s="131">
        <f>'Tx.Contributiva Seg.Social'!C11</f>
        <v>0.11</v>
      </c>
      <c r="XEK77" s="132">
        <f>'Tx.Contributiva Seg.Social'!D11</f>
        <v>0.125</v>
      </c>
    </row>
    <row r="78" spans="2:14 16363:16365" ht="15.75" thickBot="1">
      <c r="XEI78" s="129">
        <f>'Tx.Contributiva Seg.Social'!B12</f>
        <v>0</v>
      </c>
      <c r="XEJ78" s="131">
        <f>'Tx.Contributiva Seg.Social'!C12</f>
        <v>0</v>
      </c>
      <c r="XEK78" s="132">
        <f>'Tx.Contributiva Seg.Social'!D12</f>
        <v>0</v>
      </c>
    </row>
    <row r="79" spans="2:14 16363:16365" ht="4.5" customHeight="1"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  <c r="XEI79" s="129">
        <f>'Tx.Contributiva Seg.Social'!B13</f>
        <v>0</v>
      </c>
      <c r="XEJ79" s="131">
        <f>'Tx.Contributiva Seg.Social'!C13</f>
        <v>0</v>
      </c>
      <c r="XEK79" s="132">
        <f>'Tx.Contributiva Seg.Social'!D13</f>
        <v>0</v>
      </c>
    </row>
    <row r="80" spans="2:14 16363:16365">
      <c r="B80" s="13"/>
      <c r="C80" s="25" t="s">
        <v>49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6"/>
      <c r="XEI80" s="129">
        <f>'Tx.Contributiva Seg.Social'!B14</f>
        <v>0</v>
      </c>
      <c r="XEJ80" s="131">
        <f>'Tx.Contributiva Seg.Social'!C14</f>
        <v>0</v>
      </c>
      <c r="XEK80" s="132">
        <f>'Tx.Contributiva Seg.Social'!D14</f>
        <v>0</v>
      </c>
    </row>
    <row r="81" spans="2:14 16363:16365">
      <c r="B81" s="13"/>
      <c r="C81" s="14"/>
      <c r="D81" s="14"/>
      <c r="E81" s="14"/>
      <c r="F81" s="26"/>
      <c r="G81" s="26"/>
      <c r="H81" s="26"/>
      <c r="I81" s="14"/>
      <c r="J81" s="14"/>
      <c r="K81" s="14"/>
      <c r="L81" s="14"/>
      <c r="M81" s="14"/>
      <c r="N81" s="16"/>
      <c r="XEI81" s="129">
        <f>'Tx.Contributiva Seg.Social'!B15</f>
        <v>0</v>
      </c>
      <c r="XEJ81" s="131">
        <f>'Tx.Contributiva Seg.Social'!C15</f>
        <v>0</v>
      </c>
      <c r="XEK81" s="132">
        <f>'Tx.Contributiva Seg.Social'!D15</f>
        <v>0</v>
      </c>
    </row>
    <row r="82" spans="2:14 16363:16365" ht="20.25" customHeight="1">
      <c r="B82" s="13"/>
      <c r="C82" s="14" t="str">
        <f>IF($K$27="","",IF($K$27="Parte do Funcionário","A rescisão do contrato é por parte do funcionário, há que validar se vai haver pagamento de indeminização à empresa","A rescisão do contrato é por parte da Empresa, ou por mutuo acordo, não é necessário fazer cálculo de indiminização a pagar"))</f>
        <v/>
      </c>
      <c r="D82" s="14"/>
      <c r="E82" s="14"/>
      <c r="F82" s="14"/>
      <c r="G82" s="14"/>
      <c r="H82" s="14"/>
      <c r="I82" s="14"/>
      <c r="K82" s="14"/>
      <c r="L82" s="15" t="str">
        <f>IF($C$82="A rescisão do contrato é por parte do funcionário, há que validar se vai haver pagamento de indeminização à empresa","O funcionário entregou a carta de despedimento no dia","")</f>
        <v/>
      </c>
      <c r="M82" s="110" t="str">
        <f>IF($C$82="A rescisão do contrato é por parte do funcionário, há que validar se vai haver pagamento de indeminização à empresa",M25,"")</f>
        <v/>
      </c>
      <c r="N82" s="16"/>
      <c r="XEI82" s="129">
        <f>'Tx.Contributiva Seg.Social'!B16</f>
        <v>0</v>
      </c>
      <c r="XEJ82" s="131">
        <f>'Tx.Contributiva Seg.Social'!C16</f>
        <v>0</v>
      </c>
      <c r="XEK82" s="132">
        <f>'Tx.Contributiva Seg.Social'!D16</f>
        <v>0</v>
      </c>
    </row>
    <row r="83" spans="2:14 16363:16365">
      <c r="B83" s="13"/>
      <c r="C83" s="14"/>
      <c r="D83" s="14"/>
      <c r="E83" s="14"/>
      <c r="F83" s="14"/>
      <c r="G83" s="41"/>
      <c r="H83" s="14"/>
      <c r="I83" s="41"/>
      <c r="J83" s="19"/>
      <c r="K83" s="14"/>
      <c r="L83" s="14"/>
      <c r="M83" s="14"/>
      <c r="N83" s="16"/>
      <c r="XEI83" s="129">
        <f>'Tx.Contributiva Seg.Social'!B17</f>
        <v>0</v>
      </c>
      <c r="XEJ83" s="131">
        <f>'Tx.Contributiva Seg.Social'!C17</f>
        <v>0</v>
      </c>
      <c r="XEK83" s="132">
        <f>'Tx.Contributiva Seg.Social'!D17</f>
        <v>0</v>
      </c>
    </row>
    <row r="84" spans="2:14 16363:16365" ht="20.25" customHeight="1">
      <c r="B84" s="13"/>
      <c r="C84" s="14" t="str">
        <f>IF($C$82="A rescisão do contrato é por parte do funcionário, há que validar se vai haver pagamento de indeminização à empresa","Tem que pagar indeminização à empresa?","")</f>
        <v/>
      </c>
      <c r="D84" s="110" t="str">
        <f>IF(AND(G23="A Termo Certo",$C$82="A rescisão do contrato é por parte do funcionário, há que validar se vai haver pagamento de indeminização à empresa"),IF($D$44&gt;$M$84,"Não","Sim"),IF(AND(G23="Sem Termo",$C$82="A rescisão do contrato é por parte do funcionário, há que validar se vai haver pagamento de indeminização à empresa"),IF(M25+M23&gt;=D25,"Não","Sim"),""))</f>
        <v/>
      </c>
      <c r="E84" s="14"/>
      <c r="F84" s="112" t="str">
        <f>IF(OR(D84="",D84="não"),"","Quantos dias?")</f>
        <v/>
      </c>
      <c r="G84" s="111"/>
      <c r="H84" s="14"/>
      <c r="I84" s="14"/>
      <c r="J84" s="14"/>
      <c r="K84" s="14"/>
      <c r="L84" s="15" t="str">
        <f>IF($C$82="A rescisão do contrato é por parte do funcionário, há que validar se vai haver pagamento de indeminização à empresa","A data que ele deveria cessar o contrato, dando o pré-aviso,deveria ser posterior a","")</f>
        <v/>
      </c>
      <c r="M84" s="110" t="str">
        <f>IF($C$82="A rescisão do contrato é por parte do funcionário, há que validar se vai haver pagamento de indeminização à empresa",M23+M25,"")</f>
        <v/>
      </c>
      <c r="N84" s="16"/>
      <c r="XEI84" s="129">
        <f>'Tx.Contributiva Seg.Social'!B18</f>
        <v>0</v>
      </c>
      <c r="XEJ84" s="131">
        <f>'Tx.Contributiva Seg.Social'!C18</f>
        <v>0</v>
      </c>
      <c r="XEK84" s="132">
        <f>'Tx.Contributiva Seg.Social'!D18</f>
        <v>0</v>
      </c>
    </row>
    <row r="85" spans="2:14 16363:16365">
      <c r="B85" s="13"/>
      <c r="C85" s="14"/>
      <c r="D85" s="14"/>
      <c r="E85" s="14"/>
      <c r="F85" s="14"/>
      <c r="G85" s="41"/>
      <c r="H85" s="14"/>
      <c r="I85" s="41"/>
      <c r="J85" s="19"/>
      <c r="K85" s="14"/>
      <c r="L85" s="14"/>
      <c r="M85" s="14"/>
      <c r="N85" s="16"/>
      <c r="XEI85" s="129">
        <f>'Tx.Contributiva Seg.Social'!B19</f>
        <v>0</v>
      </c>
      <c r="XEJ85" s="131">
        <f>'Tx.Contributiva Seg.Social'!C19</f>
        <v>0</v>
      </c>
      <c r="XEK85" s="132">
        <f>'Tx.Contributiva Seg.Social'!D19</f>
        <v>0</v>
      </c>
    </row>
    <row r="86" spans="2:14 16363:16365" ht="20.25" customHeight="1">
      <c r="B86" s="13"/>
      <c r="C86" s="14" t="str">
        <f>IF(D84="","",IF($D$44&gt;$M$84,"","Qual o valor?"))</f>
        <v/>
      </c>
      <c r="D86" s="113" t="str">
        <f>IF(D84="","",IF($D$44&gt;$M$84,"",$G$84*$M$21))</f>
        <v/>
      </c>
      <c r="E86" s="14"/>
      <c r="F86" s="14"/>
      <c r="H86" s="15" t="str">
        <f>IF(D84="","",IF($D$44&gt;$M$84,"","A empresa vai exigir a indeminização?"))</f>
        <v/>
      </c>
      <c r="I86" s="223"/>
      <c r="K86" s="14"/>
      <c r="L86" s="14"/>
      <c r="M86" s="14"/>
      <c r="N86" s="16"/>
      <c r="XEI86" s="129">
        <f>'Tx.Contributiva Seg.Social'!B20</f>
        <v>0</v>
      </c>
      <c r="XEJ86" s="131">
        <f>'Tx.Contributiva Seg.Social'!C20</f>
        <v>0</v>
      </c>
      <c r="XEK86" s="132">
        <f>'Tx.Contributiva Seg.Social'!D20</f>
        <v>0</v>
      </c>
    </row>
    <row r="87" spans="2:14 16363:16365" ht="14.25" customHeight="1">
      <c r="B87" s="13"/>
      <c r="C87" s="14"/>
      <c r="D87" s="113"/>
      <c r="E87" s="14"/>
      <c r="F87" s="14"/>
      <c r="H87" s="15"/>
      <c r="K87" s="14"/>
      <c r="L87" s="14"/>
      <c r="M87" s="14"/>
      <c r="N87" s="16"/>
      <c r="XEI87" s="129">
        <f>'Tx.Contributiva Seg.Social'!B21</f>
        <v>0</v>
      </c>
      <c r="XEJ87" s="131">
        <f>'Tx.Contributiva Seg.Social'!C21</f>
        <v>0</v>
      </c>
      <c r="XEK87" s="132">
        <f>'Tx.Contributiva Seg.Social'!D21</f>
        <v>0</v>
      </c>
    </row>
    <row r="88" spans="2:14 16363:16365" ht="4.5" customHeight="1" thickBot="1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4"/>
      <c r="XEI88" s="129">
        <f>'Tx.Contributiva Seg.Social'!B22</f>
        <v>0</v>
      </c>
      <c r="XEJ88" s="131">
        <f>'Tx.Contributiva Seg.Social'!C22</f>
        <v>0</v>
      </c>
      <c r="XEK88" s="132">
        <f>'Tx.Contributiva Seg.Social'!D22</f>
        <v>0</v>
      </c>
    </row>
    <row r="90" spans="2:14 16363:16365" ht="21" customHeight="1">
      <c r="C90" s="14" t="s">
        <v>153</v>
      </c>
      <c r="D90" s="3"/>
      <c r="F90" s="112" t="str">
        <f>IF(D90="sim","Qual o valor?","")</f>
        <v/>
      </c>
      <c r="K90" s="112" t="s">
        <v>155</v>
      </c>
      <c r="L90" s="3"/>
    </row>
    <row r="91" spans="2:14 16363:16365" ht="15.75" thickBot="1"/>
    <row r="92" spans="2:14 16363:16365" ht="15.75" thickBot="1">
      <c r="B92" s="151"/>
      <c r="C92" s="146" t="s">
        <v>16</v>
      </c>
      <c r="D92" s="147" t="s">
        <v>158</v>
      </c>
      <c r="E92" s="146"/>
      <c r="F92" s="144" t="s">
        <v>15</v>
      </c>
      <c r="G92" s="147" t="s">
        <v>14</v>
      </c>
      <c r="H92" s="153"/>
      <c r="I92" s="144" t="s">
        <v>51</v>
      </c>
      <c r="J92" s="144" t="s">
        <v>77</v>
      </c>
      <c r="K92" s="144" t="s">
        <v>76</v>
      </c>
      <c r="L92" s="144" t="s">
        <v>78</v>
      </c>
      <c r="M92" s="147" t="s">
        <v>79</v>
      </c>
      <c r="N92" s="152"/>
    </row>
    <row r="93" spans="2:14 16363:16365" ht="20.25" customHeight="1">
      <c r="B93" s="154"/>
      <c r="C93" s="148" t="s">
        <v>5</v>
      </c>
      <c r="D93" s="229" t="str">
        <f>IF($G$23="A Termo Certo",D41,F46)</f>
        <v/>
      </c>
      <c r="E93" s="148"/>
      <c r="F93" s="142" t="str">
        <f>IF(D93="","",$K$21)</f>
        <v/>
      </c>
      <c r="G93" s="211" t="str">
        <f>IF($G$23="A Termo Certo",G41,I46)</f>
        <v/>
      </c>
      <c r="H93" s="148"/>
      <c r="I93" s="143" t="str">
        <f>IF(C93="","",IF(G93="","",IF($J$14="NÃO CASADO",VLOOKUP(G93,'Tabelas Ret.IRS'!$B$11:$J$43,($M$14+4),TRUE),IF($J$14="CASADO UNICO TITULAR",VLOOKUP(G93,'Tabelas Ret.IRS'!$B$55:$J$85,($M$14+4),TRUE),IF($J$14="CASADO DOIS TITULARES",VLOOKUP(G93,'Tabelas Ret.IRS'!$B$97:$J$129,($M$14+4),TRUE),IF($J$14="NÃO CASADO - DEFICIENTE",VLOOKUP(G93,'Tabelas Ret.IRS'!$B$141:$J$167,($M$14+4),TRUE),IF($J$14="CASADO UNICO TITULAR - DEFICIENTE",VLOOKUP(G93,'Tabelas Ret.IRS'!$B$179:$J$204,($M$14+4),TRUE),IF($J$14="CASADO DOIS TITULARES - DEFICIENTE",VLOOKUP(G93,'Tabelas Ret.IRS'!$B$216:$J$242,($M$14+4),TRUE),""))))))))</f>
        <v/>
      </c>
      <c r="J93" s="214" t="str">
        <f>IF(G93="","",-ROUND($G93*I93,2))</f>
        <v/>
      </c>
      <c r="K93" s="143" t="str">
        <f>IF(C93="","",IF(G93="","",IF($D$14="","",VLOOKUP($D$14,'Tx.Contributiva Seg.Social'!$B$6:$D$22,2,FALSE))))</f>
        <v/>
      </c>
      <c r="L93" s="214" t="str">
        <f>IF(I93="","",-ROUND($G93*K93,2))</f>
        <v/>
      </c>
      <c r="M93" s="211" t="str">
        <f t="shared" ref="M93:M97" si="0">IF(OR(G93="",G93=0),"",G93+J93+L93)</f>
        <v/>
      </c>
      <c r="N93" s="155"/>
    </row>
    <row r="94" spans="2:14 16363:16365" ht="20.25" customHeight="1">
      <c r="B94" s="156"/>
      <c r="C94" s="149" t="s">
        <v>21</v>
      </c>
      <c r="D94" s="230" t="str">
        <f>IF(G53="","",G53)</f>
        <v/>
      </c>
      <c r="E94" s="149"/>
      <c r="F94" s="138" t="str">
        <f>IF(D94="","",$K$21)</f>
        <v/>
      </c>
      <c r="G94" s="212" t="str">
        <f>IF(K53="","",K53)</f>
        <v/>
      </c>
      <c r="H94" s="149"/>
      <c r="I94" s="139" t="str">
        <f>IF(C94="","",IF(G94="","",IF($J$14="NÃO CASADO",VLOOKUP(G94,'Tabelas Ret.IRS'!$B$11:$J$43,($M$14+4),TRUE),IF($J$14="CASADO UNICO TITULAR",VLOOKUP(G94,'Tabelas Ret.IRS'!$B$55:$J$85,($M$14+4),TRUE),IF($J$14="CASADO DOIS TITULARES",VLOOKUP(G94,'Tabelas Ret.IRS'!$B$97:$J$129,($M$14+4),TRUE),IF($J$14="NÃO CASADO - DEFICIENTE",VLOOKUP(G94,'Tabelas Ret.IRS'!$B$141:$J$167,($M$14+4),TRUE),IF($J$14="CASADO UNICO TITULAR - DEFICIENTE",VLOOKUP(G94,'Tabelas Ret.IRS'!$B$179:$J$204,($M$14+4),TRUE),IF($J$14="CASADO DOIS TITULARES - DEFICIENTE",VLOOKUP(G94,'Tabelas Ret.IRS'!$B$216:$J$242,($M$14+4),TRUE),""))))))))</f>
        <v/>
      </c>
      <c r="J94" s="215" t="str">
        <f t="shared" ref="J94:L99" si="1">IF(G94="","",-ROUND($G94*I94,2))</f>
        <v/>
      </c>
      <c r="K94" s="139" t="str">
        <f>IF(C94="","",IF(G94="","",IF($D$14="","",VLOOKUP($D$14,'Tx.Contributiva Seg.Social'!$B$6:$D$22,2,FALSE))))</f>
        <v/>
      </c>
      <c r="L94" s="215" t="str">
        <f t="shared" si="1"/>
        <v/>
      </c>
      <c r="M94" s="212" t="str">
        <f t="shared" si="0"/>
        <v/>
      </c>
      <c r="N94" s="157"/>
    </row>
    <row r="95" spans="2:14 16363:16365" ht="20.25" customHeight="1">
      <c r="B95" s="156"/>
      <c r="C95" s="149" t="s">
        <v>22</v>
      </c>
      <c r="D95" s="230" t="str">
        <f>IF(G55="","",G55)</f>
        <v/>
      </c>
      <c r="E95" s="149"/>
      <c r="F95" s="138" t="str">
        <f>IF(D95="","",$K$21)</f>
        <v/>
      </c>
      <c r="G95" s="212" t="str">
        <f>IF(K55="","",K55)</f>
        <v/>
      </c>
      <c r="H95" s="149"/>
      <c r="I95" s="139" t="str">
        <f>IF(C95="","",IF(G95="","",IF($J$14="NÃO CASADO",VLOOKUP(G95,'Tabelas Ret.IRS'!$B$11:$J$43,($M$14+4),TRUE),IF($J$14="CASADO UNICO TITULAR",VLOOKUP(G95,'Tabelas Ret.IRS'!$B$55:$J$85,($M$14+4),TRUE),IF($J$14="CASADO DOIS TITULARES",VLOOKUP(G95,'Tabelas Ret.IRS'!$B$97:$J$129,($M$14+4),TRUE),IF($J$14="NÃO CASADO - DEFICIENTE",VLOOKUP(G95,'Tabelas Ret.IRS'!$B$141:$J$167,($M$14+4),TRUE),IF($J$14="CASADO UNICO TITULAR - DEFICIENTE",VLOOKUP(G95,'Tabelas Ret.IRS'!$B$179:$J$204,($M$14+4),TRUE),IF($J$14="CASADO DOIS TITULARES - DEFICIENTE",VLOOKUP(G95,'Tabelas Ret.IRS'!$B$216:$J$242,($M$14+4),TRUE),""))))))))</f>
        <v/>
      </c>
      <c r="J95" s="215" t="str">
        <f t="shared" si="1"/>
        <v/>
      </c>
      <c r="K95" s="139" t="str">
        <f>IF(C95="","",IF(G95="","",IF($D$14="","",VLOOKUP($D$14,'Tx.Contributiva Seg.Social'!$B$6:$D$22,2,FALSE))))</f>
        <v/>
      </c>
      <c r="L95" s="215" t="str">
        <f t="shared" si="1"/>
        <v/>
      </c>
      <c r="M95" s="212" t="str">
        <f t="shared" si="0"/>
        <v/>
      </c>
      <c r="N95" s="157"/>
    </row>
    <row r="96" spans="2:14 16363:16365" ht="20.25" customHeight="1">
      <c r="B96" s="156"/>
      <c r="C96" s="149" t="s">
        <v>26</v>
      </c>
      <c r="D96" s="230" t="str">
        <f>IF(K62="","",K62)</f>
        <v/>
      </c>
      <c r="E96" s="149"/>
      <c r="F96" s="138" t="str">
        <f>IF(D96="","",$M$21)</f>
        <v/>
      </c>
      <c r="G96" s="212" t="str">
        <f>IF(M62="","",M62)</f>
        <v/>
      </c>
      <c r="H96" s="149"/>
      <c r="I96" s="139" t="str">
        <f>IF(C96="","",IF(G96="","",IF($J$14="NÃO CASADO",VLOOKUP(G96,'Tabelas Ret.IRS'!$B$11:$J$43,($M$14+4),TRUE),IF($J$14="CASADO UNICO TITULAR",VLOOKUP(G96,'Tabelas Ret.IRS'!$B$55:$J$85,($M$14+4),TRUE),IF($J$14="CASADO DOIS TITULARES",VLOOKUP(G96,'Tabelas Ret.IRS'!$B$97:$J$129,($M$14+4),TRUE),IF($J$14="NÃO CASADO - DEFICIENTE",VLOOKUP(G96,'Tabelas Ret.IRS'!$B$141:$J$167,($M$14+4),TRUE),IF($J$14="CASADO UNICO TITULAR - DEFICIENTE",VLOOKUP(G96,'Tabelas Ret.IRS'!$B$179:$J$204,($M$14+4),TRUE),IF($J$14="CASADO DOIS TITULARES - DEFICIENTE",VLOOKUP(G96,'Tabelas Ret.IRS'!$B$216:$J$242,($M$14+4),TRUE),""))))))))</f>
        <v/>
      </c>
      <c r="J96" s="215" t="str">
        <f t="shared" si="1"/>
        <v/>
      </c>
      <c r="K96" s="139" t="str">
        <f>IF(C96="","",IF(G96="","",IF($D$14="","",VLOOKUP($D$14,'Tx.Contributiva Seg.Social'!$B$6:$D$22,2,FALSE))))</f>
        <v/>
      </c>
      <c r="L96" s="215" t="str">
        <f t="shared" si="1"/>
        <v/>
      </c>
      <c r="M96" s="212" t="str">
        <f t="shared" si="0"/>
        <v/>
      </c>
      <c r="N96" s="157"/>
    </row>
    <row r="97" spans="2:14" ht="20.25" customHeight="1">
      <c r="B97" s="156"/>
      <c r="C97" s="149" t="s">
        <v>27</v>
      </c>
      <c r="D97" s="230" t="str">
        <f>IF(K64="","",K64)</f>
        <v/>
      </c>
      <c r="E97" s="149"/>
      <c r="F97" s="138" t="str">
        <f>IF(D97="","",$M$21)</f>
        <v/>
      </c>
      <c r="G97" s="212" t="str">
        <f>IF(M64="","",M64)</f>
        <v/>
      </c>
      <c r="H97" s="149"/>
      <c r="I97" s="139" t="str">
        <f>IF(C97="","",IF(G97="","",IF($J$14="NÃO CASADO",VLOOKUP(G97,'Tabelas Ret.IRS'!$B$11:$J$43,($M$14+4),TRUE),IF($J$14="CASADO UNICO TITULAR",VLOOKUP(G97,'Tabelas Ret.IRS'!$B$55:$J$85,($M$14+4),TRUE),IF($J$14="CASADO DOIS TITULARES",VLOOKUP(G97,'Tabelas Ret.IRS'!$B$97:$J$129,($M$14+4),TRUE),IF($J$14="NÃO CASADO - DEFICIENTE",VLOOKUP(G97,'Tabelas Ret.IRS'!$B$141:$J$167,($M$14+4),TRUE),IF($J$14="CASADO UNICO TITULAR - DEFICIENTE",VLOOKUP(G97,'Tabelas Ret.IRS'!$B$179:$J$204,($M$14+4),TRUE),IF($J$14="CASADO DOIS TITULARES - DEFICIENTE",VLOOKUP(G97,'Tabelas Ret.IRS'!$B$216:$J$242,($M$14+4),TRUE),""))))))))</f>
        <v/>
      </c>
      <c r="J97" s="215" t="str">
        <f t="shared" si="1"/>
        <v/>
      </c>
      <c r="K97" s="139" t="str">
        <f>IF(C97="","",IF(G97="","",IF($D$14="","",VLOOKUP($D$14,'Tx.Contributiva Seg.Social'!$B$6:$D$22,2,FALSE))))</f>
        <v/>
      </c>
      <c r="L97" s="215" t="str">
        <f t="shared" si="1"/>
        <v/>
      </c>
      <c r="M97" s="212" t="str">
        <f t="shared" si="0"/>
        <v/>
      </c>
      <c r="N97" s="157"/>
    </row>
    <row r="98" spans="2:14" ht="20.25" customHeight="1">
      <c r="B98" s="156"/>
      <c r="C98" s="149" t="str">
        <f>IF($K$27="","",IF(AND($K$27="Parte do Funcionário",$I$86="Sim"),"Indeminização a pagar à empresa","Indeminização a pagar ao funcionário"))</f>
        <v/>
      </c>
      <c r="D98" s="230" t="str">
        <f>IF(D99="","",IF($K$27="","",IF(AND($K$27="Parte do Funcionário",$I$86="Sim"),-G84,IF(AND($G$23="A Termo Certo",$K$27="Parte da Empresa"),J73,IF(AND($G$23="Sem Termo",$K$27="Mútuo Acordo"),G73,""))))-D99)</f>
        <v/>
      </c>
      <c r="E98" s="149"/>
      <c r="F98" s="138" t="str">
        <f>IF(G98=0,"",IF($K$27="","",IF(AND($K$27="Parte do Funcionário",$I$86="Sim"),M21,IF(AND($G$23="A Termo Certo",$K$27="Parte da Empresa"),K21,IF(AND($G$23="Sem Termo",$K$27="Mútuo Acordo"),K19,"")))))</f>
        <v/>
      </c>
      <c r="G98" s="212" t="str">
        <f>IF(G99="","",IF($K$27="","",IF(AND($K$27="Parte do Funcionário",$I$86="Sim"),-D86,IF(AND($G$23="A Termo Certo",$K$27="Parte da Empresa"),M73,IF(AND($G$23="Sem Termo",$K$27="Mútuo Acordo"),M73,""))))-G99)</f>
        <v/>
      </c>
      <c r="H98" s="149"/>
      <c r="I98" s="139" t="str">
        <f>IF(G98=0,"",IF(I99="","",IF(C98="","",IF(ABS(G98)="","",IF($J$14="NÃO CASADO",VLOOKUP(ABS(G98),'Tabelas Ret.IRS'!$B$11:$J$43,($M$14+4),TRUE),IF($J$14="CASADO UNICO TITULAR",VLOOKUP(ABS(G98),'Tabelas Ret.IRS'!$B$55:$J$85,($M$14+4),TRUE),IF($J$14="CASADO DOIS TITULARES",VLOOKUP(ABS(G98),'Tabelas Ret.IRS'!$B$97:$J$129,($M$14+4),TRUE),IF($J$14="NÃO CASADO - DEFICIENTE",VLOOKUP(ABS(G98),'Tabelas Ret.IRS'!$B$141:$J$167,($M$14+4),TRUE),IF($J$14="CASADO UNICO TITULAR - DEFICIENTE",VLOOKUP(ABS(G98),'Tabelas Ret.IRS'!$B$179:$J$204,($M$14+4),TRUE),IF($J$14="CASADO DOIS TITULARES - DEFICIENTE",VLOOKUP(ABS(G98),'Tabelas Ret.IRS'!$B$216:$J$242,($M$14+4),TRUE),""))))))))))</f>
        <v/>
      </c>
      <c r="J98" s="215" t="str">
        <f>IF(OR(G98="",G98=0),"",-ROUND($G98*I98,2))</f>
        <v/>
      </c>
      <c r="K98" s="139" t="str">
        <f>IF(G98=0,"",IF(K99="","",IF(C98="","",IF(ABS(G98)="","",IF($D$14="","",VLOOKUP($D$14,'Tx.Contributiva Seg.Social'!$B$6:$D$22,2,FALSE))))))</f>
        <v/>
      </c>
      <c r="L98" s="215" t="str">
        <f t="shared" si="1"/>
        <v/>
      </c>
      <c r="M98" s="212" t="str">
        <f>IF(OR(G98="",G98=0),"",G98+J98+L98)</f>
        <v/>
      </c>
      <c r="N98" s="157"/>
    </row>
    <row r="99" spans="2:14" ht="20.25" customHeight="1" thickBot="1">
      <c r="B99" s="158"/>
      <c r="C99" s="150" t="str">
        <f>IF($K$27="","",IF(AND($K$27="Parte do Funcionário",$I$86="Sim"),"Indeminização a pagar à empresa (isenta IRS e S.Social)","Indeminização a pagar ao funcionário (isenta IRS e S.Social)"))</f>
        <v/>
      </c>
      <c r="D99" s="231" t="str">
        <f>IF($K$27="","",IF(AND($K$27="Parte do Funcionário",$I$86="Sim"),-G84,IF(AND($G$23="A Termo Certo",$K$27="Parte da Empresa"),J73,IF(AND($G$23="Sem Termo",$K$27="Mútuo Acordo"),ROUND((D44-D23)/30,0),""))))</f>
        <v/>
      </c>
      <c r="E99" s="150"/>
      <c r="F99" s="140" t="str">
        <f>IF($K$27="","",IF(AND($K$27="Parte do Funcionário",$I$86="Sim"),M21,IF(AND($G$23="A Termo Certo",$K$27="Parte da Empresa"),K21,IF(AND($G$23="Sem Termo",$K$27="Mútuo Acordo"),K19,""))))</f>
        <v/>
      </c>
      <c r="G99" s="213" t="str">
        <f>IF($K$27="","",IF(AND($K$27="Parte do Funcionário",$I$86="Sim"),-D86,IF(AND($G$23="A Termo Certo",$K$27="Parte da Empresa"),M73,IF(AND($G$23="Sem Termo",$K$27="Mútuo Acordo"),M73-M75,""))))</f>
        <v/>
      </c>
      <c r="H99" s="150"/>
      <c r="I99" s="141" t="str">
        <f>IF($G$99="","",0%)</f>
        <v/>
      </c>
      <c r="J99" s="216" t="str">
        <f>IF(G99="","",-ROUND($G99*I99,2))</f>
        <v/>
      </c>
      <c r="K99" s="141" t="str">
        <f>IF($G$99="","",0%)</f>
        <v/>
      </c>
      <c r="L99" s="216" t="str">
        <f t="shared" si="1"/>
        <v/>
      </c>
      <c r="M99" s="213" t="str">
        <f t="shared" ref="M99" si="2">IF(OR(G99="",G99=0),"",G99+J99+L99)</f>
        <v/>
      </c>
      <c r="N99" s="159"/>
    </row>
    <row r="100" spans="2:14" ht="20.25" customHeight="1" thickBot="1">
      <c r="L100" s="145" t="s">
        <v>80</v>
      </c>
      <c r="M100" s="217">
        <f>SUM(M93:M99)</f>
        <v>0</v>
      </c>
      <c r="N100" s="24"/>
    </row>
  </sheetData>
  <sheetProtection password="9596" sheet="1" objects="1" scenarios="1" insertHyperlinks="0" selectLockedCells="1"/>
  <protectedRanges>
    <protectedRange password="83EF" sqref="I64" name="Data_Fecho_Sub_Natal"/>
  </protectedRanges>
  <mergeCells count="13">
    <mergeCell ref="C41:C42"/>
    <mergeCell ref="K27:K28"/>
    <mergeCell ref="J14:K14"/>
    <mergeCell ref="D12:G12"/>
    <mergeCell ref="D14:H14"/>
    <mergeCell ref="C5:D5"/>
    <mergeCell ref="H5:J5"/>
    <mergeCell ref="D10:G10"/>
    <mergeCell ref="F25:H26"/>
    <mergeCell ref="I36:M37"/>
    <mergeCell ref="C73:C74"/>
    <mergeCell ref="F74:H75"/>
    <mergeCell ref="J74:K75"/>
  </mergeCells>
  <conditionalFormatting sqref="F25">
    <cfRule type="expression" dxfId="54" priority="75">
      <formula>$F$25="Atenção que o último dia de trabalho efectivo não pode ser depois da data de fim do contrato a termo certo"</formula>
    </cfRule>
  </conditionalFormatting>
  <conditionalFormatting sqref="G34">
    <cfRule type="expression" dxfId="53" priority="73">
      <formula>D34="Sim"</formula>
    </cfRule>
  </conditionalFormatting>
  <conditionalFormatting sqref="G36">
    <cfRule type="expression" dxfId="52" priority="72">
      <formula>D36="Sim"</formula>
    </cfRule>
  </conditionalFormatting>
  <conditionalFormatting sqref="C41:C42">
    <cfRule type="expression" dxfId="51" priority="66">
      <formula>$C$40="Deseja terminar o contrato na data do último dia de trabalho efectivo, e pagar indeminização por férias não gozadas, ou terminar o contrato após o fim das férias?"</formula>
    </cfRule>
  </conditionalFormatting>
  <conditionalFormatting sqref="M23">
    <cfRule type="expression" dxfId="50" priority="65">
      <formula>OR($L$23&lt;&gt;"",K27="Parte do Funcionário")</formula>
    </cfRule>
  </conditionalFormatting>
  <conditionalFormatting sqref="M25">
    <cfRule type="expression" dxfId="49" priority="64">
      <formula>OR($L$25&lt;&gt;"",K27="Parte do Funcionário")</formula>
    </cfRule>
  </conditionalFormatting>
  <conditionalFormatting sqref="I27">
    <cfRule type="expression" dxfId="48" priority="63">
      <formula>$C$27&lt;&gt;""</formula>
    </cfRule>
  </conditionalFormatting>
  <conditionalFormatting sqref="D41 G41">
    <cfRule type="expression" dxfId="47" priority="62">
      <formula>D41&lt;&gt;""</formula>
    </cfRule>
  </conditionalFormatting>
  <conditionalFormatting sqref="I38">
    <cfRule type="expression" dxfId="46" priority="60">
      <formula>$C$38&lt;&gt;""</formula>
    </cfRule>
  </conditionalFormatting>
  <conditionalFormatting sqref="F46">
    <cfRule type="expression" dxfId="45" priority="59">
      <formula>$C$46&lt;&gt;""</formula>
    </cfRule>
  </conditionalFormatting>
  <conditionalFormatting sqref="K23">
    <cfRule type="expression" dxfId="44" priority="77">
      <formula>$J$23&lt;&gt;""</formula>
    </cfRule>
  </conditionalFormatting>
  <conditionalFormatting sqref="I46">
    <cfRule type="expression" dxfId="43" priority="87">
      <formula>H46&lt;&gt;""</formula>
    </cfRule>
  </conditionalFormatting>
  <conditionalFormatting sqref="G53">
    <cfRule type="expression" dxfId="42" priority="57">
      <formula>D53="Sim"</formula>
    </cfRule>
  </conditionalFormatting>
  <conditionalFormatting sqref="G55">
    <cfRule type="expression" dxfId="41" priority="56">
      <formula>D55="Sim"</formula>
    </cfRule>
  </conditionalFormatting>
  <conditionalFormatting sqref="K55">
    <cfRule type="expression" dxfId="40" priority="53">
      <formula>J55&lt;&gt;""</formula>
    </cfRule>
  </conditionalFormatting>
  <conditionalFormatting sqref="K53">
    <cfRule type="expression" dxfId="39" priority="52">
      <formula>J53&lt;&gt;""</formula>
    </cfRule>
  </conditionalFormatting>
  <conditionalFormatting sqref="K53">
    <cfRule type="expression" dxfId="38" priority="51">
      <formula>J53&lt;&gt;""</formula>
    </cfRule>
  </conditionalFormatting>
  <conditionalFormatting sqref="K62">
    <cfRule type="expression" dxfId="37" priority="50">
      <formula>D62="Sim"</formula>
    </cfRule>
  </conditionalFormatting>
  <conditionalFormatting sqref="K64">
    <cfRule type="expression" dxfId="36" priority="49">
      <formula>D64="Sim"</formula>
    </cfRule>
  </conditionalFormatting>
  <conditionalFormatting sqref="M64">
    <cfRule type="expression" dxfId="35" priority="48">
      <formula>L64&lt;&gt;""</formula>
    </cfRule>
  </conditionalFormatting>
  <conditionalFormatting sqref="M62">
    <cfRule type="expression" dxfId="34" priority="47">
      <formula>L62&lt;&gt;""</formula>
    </cfRule>
  </conditionalFormatting>
  <conditionalFormatting sqref="M62">
    <cfRule type="expression" dxfId="33" priority="46">
      <formula>L62&lt;&gt;""</formula>
    </cfRule>
  </conditionalFormatting>
  <conditionalFormatting sqref="G62">
    <cfRule type="expression" dxfId="32" priority="45">
      <formula>$D62="Sim"</formula>
    </cfRule>
  </conditionalFormatting>
  <conditionalFormatting sqref="I62">
    <cfRule type="expression" dxfId="31" priority="44">
      <formula>$D62="Sim"</formula>
    </cfRule>
  </conditionalFormatting>
  <conditionalFormatting sqref="G64">
    <cfRule type="expression" dxfId="30" priority="43">
      <formula>$D64="Sim"</formula>
    </cfRule>
  </conditionalFormatting>
  <conditionalFormatting sqref="I64">
    <cfRule type="expression" dxfId="29" priority="42">
      <formula>$D64="Sim"</formula>
    </cfRule>
  </conditionalFormatting>
  <conditionalFormatting sqref="K64">
    <cfRule type="expression" dxfId="28" priority="41">
      <formula>D64="Sim"</formula>
    </cfRule>
  </conditionalFormatting>
  <conditionalFormatting sqref="M27">
    <cfRule type="expression" dxfId="27" priority="40">
      <formula>L27&lt;&gt;""</formula>
    </cfRule>
  </conditionalFormatting>
  <conditionalFormatting sqref="M82">
    <cfRule type="expression" dxfId="26" priority="39">
      <formula>L82&lt;&gt;""</formula>
    </cfRule>
  </conditionalFormatting>
  <conditionalFormatting sqref="M84">
    <cfRule type="expression" dxfId="25" priority="38">
      <formula>L84&lt;&gt;""</formula>
    </cfRule>
  </conditionalFormatting>
  <conditionalFormatting sqref="M84">
    <cfRule type="expression" dxfId="24" priority="37">
      <formula>L84&lt;&gt;""</formula>
    </cfRule>
  </conditionalFormatting>
  <conditionalFormatting sqref="D84">
    <cfRule type="expression" dxfId="23" priority="36">
      <formula>C84&lt;&gt;""</formula>
    </cfRule>
  </conditionalFormatting>
  <conditionalFormatting sqref="D84">
    <cfRule type="expression" dxfId="22" priority="35">
      <formula>C84&lt;&gt;""</formula>
    </cfRule>
  </conditionalFormatting>
  <conditionalFormatting sqref="G84">
    <cfRule type="expression" dxfId="21" priority="33">
      <formula>F84&lt;&gt;""</formula>
    </cfRule>
  </conditionalFormatting>
  <conditionalFormatting sqref="D86:D87">
    <cfRule type="expression" dxfId="20" priority="31">
      <formula>C86&lt;&gt;""</formula>
    </cfRule>
  </conditionalFormatting>
  <conditionalFormatting sqref="D15">
    <cfRule type="expression" dxfId="19" priority="30">
      <formula>C15&lt;&gt;""</formula>
    </cfRule>
  </conditionalFormatting>
  <conditionalFormatting sqref="D15">
    <cfRule type="expression" dxfId="18" priority="29">
      <formula>C15&lt;&gt;""</formula>
    </cfRule>
  </conditionalFormatting>
  <conditionalFormatting sqref="D13">
    <cfRule type="expression" dxfId="17" priority="28">
      <formula>C13&lt;&gt;""</formula>
    </cfRule>
  </conditionalFormatting>
  <conditionalFormatting sqref="D13">
    <cfRule type="expression" dxfId="16" priority="27">
      <formula>C13&lt;&gt;""</formula>
    </cfRule>
  </conditionalFormatting>
  <conditionalFormatting sqref="D11">
    <cfRule type="expression" dxfId="15" priority="26">
      <formula>C11&lt;&gt;""</formula>
    </cfRule>
  </conditionalFormatting>
  <conditionalFormatting sqref="D11">
    <cfRule type="expression" dxfId="14" priority="25">
      <formula>C11&lt;&gt;""</formula>
    </cfRule>
  </conditionalFormatting>
  <conditionalFormatting sqref="G90">
    <cfRule type="expression" dxfId="13" priority="24">
      <formula>$D$90="Sim"</formula>
    </cfRule>
  </conditionalFormatting>
  <conditionalFormatting sqref="I86">
    <cfRule type="expression" dxfId="12" priority="23">
      <formula>$H$86&lt;&gt;""</formula>
    </cfRule>
  </conditionalFormatting>
  <conditionalFormatting sqref="I42">
    <cfRule type="expression" dxfId="11" priority="22">
      <formula>$H$42&lt;&gt;""</formula>
    </cfRule>
  </conditionalFormatting>
  <conditionalFormatting sqref="M42">
    <cfRule type="expression" dxfId="10" priority="21">
      <formula>$L$42&lt;&gt;""</formula>
    </cfRule>
  </conditionalFormatting>
  <conditionalFormatting sqref="J73 D73">
    <cfRule type="expression" dxfId="9" priority="12">
      <formula>AND($G$23="A Termo Certo",$K$27="Parte da Empresa")</formula>
    </cfRule>
  </conditionalFormatting>
  <conditionalFormatting sqref="G73 M73">
    <cfRule type="expression" dxfId="8" priority="11">
      <formula>$F$73&lt;&gt;""</formula>
    </cfRule>
  </conditionalFormatting>
  <conditionalFormatting sqref="K73">
    <cfRule type="expression" dxfId="7" priority="8">
      <formula>AND($G$23="Sem Termo",$K$27="Mútuo Acordo")</formula>
    </cfRule>
  </conditionalFormatting>
  <conditionalFormatting sqref="M75">
    <cfRule type="expression" dxfId="6" priority="7">
      <formula>$L$75&lt;&gt;""</formula>
    </cfRule>
  </conditionalFormatting>
  <conditionalFormatting sqref="C71">
    <cfRule type="expression" dxfId="0" priority="4">
      <formula>$C$71="A rescisão do contrato sem termo é é por parte da empresa, logo só é possível se houve um despedimento por justa causa, assim sendo não existirá pagamento de indeminização ao funcionário. Se não for o caso, reveja os dados que colocou"</formula>
    </cfRule>
    <cfRule type="expression" dxfId="5" priority="5">
      <formula>$C$71="Não existe a figura da não renovação do contrato a termo certo por mútuo acórdo. Reveja os dados."</formula>
    </cfRule>
    <cfRule type="expression" dxfId="4" priority="6">
      <formula>$C$71="A rescisão do contrato é por parte do funcionário, assim sendo não existirá pagamento de indeminização ao funcionário"</formula>
    </cfRule>
  </conditionalFormatting>
  <conditionalFormatting sqref="I23">
    <cfRule type="expression" dxfId="3" priority="3">
      <formula>$G$23="A Termo Certo"</formula>
    </cfRule>
  </conditionalFormatting>
  <conditionalFormatting sqref="K62">
    <cfRule type="expression" dxfId="2" priority="2">
      <formula>D62="Sim"</formula>
    </cfRule>
  </conditionalFormatting>
  <conditionalFormatting sqref="K62">
    <cfRule type="expression" dxfId="1" priority="1">
      <formula>D62="Sim"</formula>
    </cfRule>
  </conditionalFormatting>
  <dataValidations count="9">
    <dataValidation type="list" allowBlank="1" showInputMessage="1" showErrorMessage="1" sqref="I86 I75 D90 D36:D37 D53 D55:D56 D62 D64:D65 D34 D47">
      <formula1>"Sim, Não"</formula1>
    </dataValidation>
    <dataValidation type="list" allowBlank="1" showInputMessage="1" showErrorMessage="1" sqref="L90">
      <formula1>"Transferência Bancária, Cheque, Dinheiro"</formula1>
    </dataValidation>
    <dataValidation type="list" allowBlank="1" showInputMessage="1" showErrorMessage="1" sqref="C41:C42">
      <formula1>$XFC$39:$XFC$41</formula1>
    </dataValidation>
    <dataValidation type="list" allowBlank="1" showInputMessage="1" showErrorMessage="1" sqref="M14">
      <formula1>$XEJ$17:$XEJ$22</formula1>
    </dataValidation>
    <dataValidation type="list" allowBlank="1" showInputMessage="1" showErrorMessage="1" sqref="J14">
      <formula1>$XEJ$6:$XEJ$14</formula1>
    </dataValidation>
    <dataValidation type="list" allowBlank="1" showInputMessage="1" showErrorMessage="1" sqref="G23">
      <formula1>"A Termo Certo, Sem Termo"</formula1>
    </dataValidation>
    <dataValidation type="list" allowBlank="1" showInputMessage="1" showErrorMessage="1" sqref="K27">
      <formula1>"Parte da Empresa, Mútuo Acordo, Parte do Funcionário"</formula1>
    </dataValidation>
    <dataValidation type="list" allowBlank="1" showInputMessage="1" showErrorMessage="1" sqref="D14">
      <formula1>$XEI$24:$XEI$88</formula1>
    </dataValidation>
    <dataValidation type="list" allowBlank="1" showInputMessage="1" showErrorMessage="1" sqref="I23">
      <formula1>"&lt;= 6 meses, &gt; 6 meses"</formula1>
    </dataValidation>
  </dataValidations>
  <pageMargins left="0.19" right="0.19" top="0.46" bottom="0.1" header="0.45" footer="0.14000000000000001"/>
  <pageSetup paperSize="9" scale="52" orientation="portrait" r:id="rId1"/>
  <ignoredErrors>
    <ignoredError sqref="K93:K9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XFD92"/>
  <sheetViews>
    <sheetView showGridLines="0" workbookViewId="0"/>
  </sheetViews>
  <sheetFormatPr defaultRowHeight="12.75"/>
  <cols>
    <col min="1" max="1" width="4.5703125" style="160" customWidth="1"/>
    <col min="2" max="2" width="1.5703125" style="160" customWidth="1"/>
    <col min="3" max="39" width="4.5703125" style="160" customWidth="1"/>
    <col min="40" max="40" width="3.42578125" style="160" customWidth="1"/>
    <col min="41" max="41" width="1.7109375" style="160" customWidth="1"/>
    <col min="42" max="16384" width="9.140625" style="160"/>
  </cols>
  <sheetData>
    <row r="1" spans="2:41 16383:16384">
      <c r="AN1" s="161" t="s">
        <v>81</v>
      </c>
    </row>
    <row r="2" spans="2:41 16383:16384" ht="49.5" customHeight="1" thickBot="1">
      <c r="AN2" s="162" t="s">
        <v>82</v>
      </c>
    </row>
    <row r="3" spans="2:41 16383:16384" ht="6.75" customHeight="1" thickTop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5"/>
    </row>
    <row r="4" spans="2:41 16383:16384" ht="38.25" customHeight="1">
      <c r="B4" s="166"/>
      <c r="C4" s="167" t="s">
        <v>83</v>
      </c>
      <c r="D4" s="168"/>
      <c r="E4" s="168"/>
      <c r="F4" s="168"/>
      <c r="G4" s="168"/>
      <c r="H4" s="168"/>
      <c r="I4" s="168"/>
      <c r="J4" s="167" t="s">
        <v>84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 t="s">
        <v>85</v>
      </c>
      <c r="AN4" s="168"/>
      <c r="AO4" s="170"/>
    </row>
    <row r="5" spans="2:41 16383:16384">
      <c r="B5" s="166"/>
      <c r="C5" s="171" t="s">
        <v>86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209"/>
      <c r="O5" s="254" t="s">
        <v>84</v>
      </c>
      <c r="P5" s="254"/>
      <c r="Q5" s="254"/>
      <c r="R5" s="254"/>
      <c r="S5" s="255"/>
      <c r="T5" s="168"/>
      <c r="U5" s="168"/>
      <c r="V5" s="168"/>
      <c r="W5" s="168"/>
      <c r="X5" s="171" t="s">
        <v>88</v>
      </c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 t="s">
        <v>89</v>
      </c>
      <c r="AJ5" s="254">
        <f>Cálculos!F5</f>
        <v>0</v>
      </c>
      <c r="AK5" s="254"/>
      <c r="AL5" s="254"/>
      <c r="AM5" s="254"/>
      <c r="AN5" s="255"/>
      <c r="AO5" s="170"/>
      <c r="XFC5" s="160">
        <v>1</v>
      </c>
      <c r="XFD5" s="160" t="s">
        <v>139</v>
      </c>
    </row>
    <row r="6" spans="2:41 16383:16384" ht="15" customHeight="1">
      <c r="B6" s="166"/>
      <c r="C6" s="174" t="s">
        <v>90</v>
      </c>
      <c r="D6" s="168"/>
      <c r="E6" s="247">
        <f>Cálculos!D10</f>
        <v>0</v>
      </c>
      <c r="F6" s="247"/>
      <c r="G6" s="247"/>
      <c r="H6" s="247"/>
      <c r="I6" s="247"/>
      <c r="J6" s="247"/>
      <c r="K6" s="247"/>
      <c r="L6" s="247"/>
      <c r="M6" s="247"/>
      <c r="N6" s="175" t="s">
        <v>89</v>
      </c>
      <c r="O6" s="247">
        <f>Cálculos!L10</f>
        <v>0</v>
      </c>
      <c r="P6" s="247"/>
      <c r="Q6" s="247"/>
      <c r="R6" s="247"/>
      <c r="S6" s="248"/>
      <c r="T6" s="168"/>
      <c r="U6" s="168"/>
      <c r="V6" s="168"/>
      <c r="W6" s="168"/>
      <c r="X6" s="244">
        <f>Cálculos!C5</f>
        <v>0</v>
      </c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176"/>
      <c r="AO6" s="170"/>
      <c r="XFC6" s="160">
        <v>2</v>
      </c>
      <c r="XFD6" s="160" t="s">
        <v>140</v>
      </c>
    </row>
    <row r="7" spans="2:41 16383:16384" ht="14.25">
      <c r="B7" s="166"/>
      <c r="C7" s="174" t="s">
        <v>91</v>
      </c>
      <c r="D7" s="168"/>
      <c r="E7" s="168"/>
      <c r="F7" s="246">
        <f>Cálculos!D12</f>
        <v>0</v>
      </c>
      <c r="G7" s="246"/>
      <c r="H7" s="246"/>
      <c r="I7" s="246"/>
      <c r="J7" s="246"/>
      <c r="K7" s="168"/>
      <c r="L7" s="168"/>
      <c r="M7" s="168"/>
      <c r="N7" s="177" t="s">
        <v>92</v>
      </c>
      <c r="O7" s="247">
        <f>Cálculos!J10</f>
        <v>0</v>
      </c>
      <c r="P7" s="247"/>
      <c r="Q7" s="247"/>
      <c r="R7" s="247"/>
      <c r="S7" s="248"/>
      <c r="T7" s="168"/>
      <c r="U7" s="168"/>
      <c r="V7" s="168"/>
      <c r="W7" s="168"/>
      <c r="X7" s="244">
        <f>Cálculos!H5</f>
        <v>0</v>
      </c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176"/>
      <c r="AO7" s="170"/>
      <c r="XFC7" s="160">
        <v>3</v>
      </c>
      <c r="XFD7" s="160" t="s">
        <v>141</v>
      </c>
    </row>
    <row r="8" spans="2:41 16383:16384" ht="14.25">
      <c r="B8" s="166"/>
      <c r="C8" s="244" t="s">
        <v>93</v>
      </c>
      <c r="D8" s="245"/>
      <c r="E8" s="245"/>
      <c r="F8" s="246">
        <f>Cálculos!J12</f>
        <v>0</v>
      </c>
      <c r="G8" s="246"/>
      <c r="H8" s="246"/>
      <c r="I8" s="246"/>
      <c r="J8" s="246"/>
      <c r="K8" s="168"/>
      <c r="L8" s="168"/>
      <c r="M8" s="168"/>
      <c r="N8" s="177" t="s">
        <v>94</v>
      </c>
      <c r="O8" s="247">
        <f>Cálculos!M12</f>
        <v>0</v>
      </c>
      <c r="P8" s="247"/>
      <c r="Q8" s="247"/>
      <c r="R8" s="247"/>
      <c r="S8" s="248"/>
      <c r="T8" s="168"/>
      <c r="U8" s="168"/>
      <c r="V8" s="168"/>
      <c r="W8" s="168"/>
      <c r="X8" s="249">
        <f>Cálculos!K5</f>
        <v>0</v>
      </c>
      <c r="Y8" s="250"/>
      <c r="Z8" s="250"/>
      <c r="AA8" s="250">
        <f>Cálculos!L5</f>
        <v>0</v>
      </c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178"/>
      <c r="AO8" s="170"/>
      <c r="XFC8" s="160">
        <v>4</v>
      </c>
      <c r="XFD8" s="160" t="s">
        <v>142</v>
      </c>
    </row>
    <row r="9" spans="2:41 16383:16384">
      <c r="B9" s="166"/>
      <c r="C9" s="174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76"/>
      <c r="T9" s="168"/>
      <c r="U9" s="168"/>
      <c r="V9" s="168"/>
      <c r="W9" s="168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68"/>
      <c r="AO9" s="170"/>
      <c r="XFC9" s="160">
        <v>5</v>
      </c>
      <c r="XFD9" s="160" t="s">
        <v>143</v>
      </c>
    </row>
    <row r="10" spans="2:41 16383:16384" ht="14.25">
      <c r="B10" s="166"/>
      <c r="C10" s="174" t="s">
        <v>95</v>
      </c>
      <c r="D10" s="168"/>
      <c r="E10" s="168"/>
      <c r="F10" s="168"/>
      <c r="G10" s="251">
        <f>Cálculos!J14</f>
        <v>0</v>
      </c>
      <c r="H10" s="251"/>
      <c r="I10" s="245"/>
      <c r="J10" s="245"/>
      <c r="K10" s="245"/>
      <c r="L10" s="245"/>
      <c r="M10" s="245"/>
      <c r="N10" s="245"/>
      <c r="O10" s="245"/>
      <c r="P10" s="168"/>
      <c r="Q10" s="168"/>
      <c r="R10" s="168"/>
      <c r="S10" s="176"/>
      <c r="T10" s="168"/>
      <c r="U10" s="168"/>
      <c r="V10" s="168"/>
      <c r="W10" s="168"/>
      <c r="X10" s="180" t="s">
        <v>96</v>
      </c>
      <c r="Y10" s="172"/>
      <c r="Z10" s="252" t="str">
        <f>IF(AJ10="","",VLOOKUP(MONTH(AJ10),XFC5:XFD16,2,FALSE))</f>
        <v/>
      </c>
      <c r="AA10" s="252"/>
      <c r="AB10" s="252"/>
      <c r="AC10" s="252"/>
      <c r="AD10" s="172"/>
      <c r="AE10" s="172"/>
      <c r="AF10" s="172"/>
      <c r="AG10" s="172" t="s">
        <v>97</v>
      </c>
      <c r="AH10" s="172"/>
      <c r="AI10" s="172"/>
      <c r="AJ10" s="253" t="str">
        <f>Cálculos!D44</f>
        <v/>
      </c>
      <c r="AK10" s="253"/>
      <c r="AL10" s="253"/>
      <c r="AM10" s="253"/>
      <c r="AN10" s="181"/>
      <c r="AO10" s="170"/>
      <c r="XFC10" s="160">
        <v>6</v>
      </c>
      <c r="XFD10" s="160" t="s">
        <v>144</v>
      </c>
    </row>
    <row r="11" spans="2:41 16383:16384" ht="18.75" customHeight="1">
      <c r="B11" s="166"/>
      <c r="C11" s="174" t="s">
        <v>98</v>
      </c>
      <c r="D11" s="168"/>
      <c r="E11" s="168"/>
      <c r="F11" s="168"/>
      <c r="G11" s="251">
        <f>Cálculos!M14</f>
        <v>0</v>
      </c>
      <c r="H11" s="251"/>
      <c r="I11" s="251"/>
      <c r="J11" s="245"/>
      <c r="K11" s="245"/>
      <c r="L11" s="245"/>
      <c r="M11" s="245"/>
      <c r="N11" s="168"/>
      <c r="O11" s="168"/>
      <c r="P11" s="168"/>
      <c r="Q11" s="168"/>
      <c r="R11" s="168"/>
      <c r="S11" s="176"/>
      <c r="T11" s="168"/>
      <c r="U11" s="168"/>
      <c r="V11" s="168"/>
      <c r="W11" s="168"/>
      <c r="X11" s="174" t="s">
        <v>151</v>
      </c>
      <c r="Y11" s="168"/>
      <c r="Z11" s="168"/>
      <c r="AA11" s="168"/>
      <c r="AB11" s="168"/>
      <c r="AC11" s="257">
        <f>Cálculos!K19</f>
        <v>0</v>
      </c>
      <c r="AD11" s="257"/>
      <c r="AE11" s="257"/>
      <c r="AF11" s="168"/>
      <c r="AG11" s="168"/>
      <c r="AH11" s="168"/>
      <c r="AI11" s="168"/>
      <c r="AJ11" s="182" t="s">
        <v>100</v>
      </c>
      <c r="AK11" s="257" t="str">
        <f>Cálculos!M19</f>
        <v/>
      </c>
      <c r="AL11" s="257"/>
      <c r="AM11" s="257"/>
      <c r="AN11" s="176"/>
      <c r="AO11" s="170"/>
      <c r="XFC11" s="160">
        <v>7</v>
      </c>
      <c r="XFD11" s="160" t="s">
        <v>145</v>
      </c>
    </row>
    <row r="12" spans="2:41 16383:16384" ht="14.25">
      <c r="B12" s="166"/>
      <c r="C12" s="183" t="s">
        <v>101</v>
      </c>
      <c r="D12" s="184"/>
      <c r="E12" s="184"/>
      <c r="F12" s="184"/>
      <c r="G12" s="258">
        <f>Cálculos!D14</f>
        <v>0</v>
      </c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184"/>
      <c r="S12" s="178"/>
      <c r="T12" s="168"/>
      <c r="U12" s="168"/>
      <c r="V12" s="168"/>
      <c r="W12" s="168"/>
      <c r="X12" s="174" t="s">
        <v>152</v>
      </c>
      <c r="Y12" s="168"/>
      <c r="Z12" s="168"/>
      <c r="AA12" s="168"/>
      <c r="AB12" s="168"/>
      <c r="AC12" s="168"/>
      <c r="AD12" s="256" t="str">
        <f>Cálculos!D41</f>
        <v/>
      </c>
      <c r="AE12" s="256"/>
      <c r="AF12" s="168"/>
      <c r="AG12" s="168"/>
      <c r="AH12" s="168"/>
      <c r="AI12" s="168"/>
      <c r="AJ12" s="182"/>
      <c r="AK12" s="257" t="s">
        <v>84</v>
      </c>
      <c r="AL12" s="257"/>
      <c r="AM12" s="257"/>
      <c r="AN12" s="176"/>
      <c r="AO12" s="170"/>
      <c r="XFC12" s="160">
        <v>8</v>
      </c>
      <c r="XFD12" s="160" t="s">
        <v>146</v>
      </c>
    </row>
    <row r="13" spans="2:41 16383:16384" ht="18.75" customHeight="1">
      <c r="B13" s="166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74" t="s">
        <v>104</v>
      </c>
      <c r="Y13" s="168"/>
      <c r="Z13" s="168"/>
      <c r="AA13" s="168"/>
      <c r="AB13" s="168"/>
      <c r="AC13" s="256" t="s">
        <v>84</v>
      </c>
      <c r="AD13" s="256"/>
      <c r="AE13" s="168"/>
      <c r="AF13" s="168"/>
      <c r="AG13" s="168"/>
      <c r="AH13" s="168"/>
      <c r="AI13" s="168"/>
      <c r="AJ13" s="182" t="s">
        <v>105</v>
      </c>
      <c r="AK13" s="168"/>
      <c r="AL13" s="256" t="s">
        <v>84</v>
      </c>
      <c r="AM13" s="256"/>
      <c r="AN13" s="176"/>
      <c r="AO13" s="170"/>
      <c r="XFC13" s="160">
        <v>9</v>
      </c>
      <c r="XFD13" s="160" t="s">
        <v>147</v>
      </c>
    </row>
    <row r="14" spans="2:41 16383:16384" ht="14.25">
      <c r="B14" s="166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74" t="s">
        <v>106</v>
      </c>
      <c r="Y14" s="168"/>
      <c r="Z14" s="168"/>
      <c r="AA14" s="168"/>
      <c r="AB14" s="256" t="s">
        <v>84</v>
      </c>
      <c r="AC14" s="256"/>
      <c r="AD14" s="168"/>
      <c r="AE14" s="168"/>
      <c r="AF14" s="168"/>
      <c r="AG14" s="168"/>
      <c r="AH14" s="168"/>
      <c r="AI14" s="168"/>
      <c r="AJ14" s="182" t="s">
        <v>107</v>
      </c>
      <c r="AK14" s="168"/>
      <c r="AL14" s="256" t="s">
        <v>84</v>
      </c>
      <c r="AM14" s="256"/>
      <c r="AN14" s="176"/>
      <c r="AO14" s="170"/>
      <c r="XFC14" s="160">
        <v>10</v>
      </c>
      <c r="XFD14" s="160" t="s">
        <v>148</v>
      </c>
    </row>
    <row r="15" spans="2:41 16383:16384" ht="18.75" customHeight="1">
      <c r="B15" s="166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74" t="s">
        <v>108</v>
      </c>
      <c r="Y15" s="168"/>
      <c r="Z15" s="168"/>
      <c r="AA15" s="168"/>
      <c r="AB15" s="256" t="s">
        <v>84</v>
      </c>
      <c r="AC15" s="256"/>
      <c r="AD15" s="256"/>
      <c r="AE15" s="168"/>
      <c r="AF15" s="168"/>
      <c r="AG15" s="168"/>
      <c r="AH15" s="168"/>
      <c r="AI15" s="168"/>
      <c r="AJ15" s="182" t="s">
        <v>109</v>
      </c>
      <c r="AK15" s="257" t="s">
        <v>84</v>
      </c>
      <c r="AL15" s="257"/>
      <c r="AM15" s="257"/>
      <c r="AN15" s="176"/>
      <c r="AO15" s="170"/>
      <c r="XFC15" s="160">
        <v>11</v>
      </c>
      <c r="XFD15" s="160" t="s">
        <v>149</v>
      </c>
    </row>
    <row r="16" spans="2:41 16383:16384" ht="14.25">
      <c r="B16" s="166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74" t="s">
        <v>110</v>
      </c>
      <c r="Y16" s="168"/>
      <c r="Z16" s="168"/>
      <c r="AA16" s="168"/>
      <c r="AB16" s="168"/>
      <c r="AC16" s="259" t="s">
        <v>84</v>
      </c>
      <c r="AD16" s="259"/>
      <c r="AE16" s="168"/>
      <c r="AF16" s="168"/>
      <c r="AG16" s="168"/>
      <c r="AH16" s="168"/>
      <c r="AI16" s="168"/>
      <c r="AJ16" s="182" t="s">
        <v>111</v>
      </c>
      <c r="AK16" s="168"/>
      <c r="AL16" s="259" t="s">
        <v>84</v>
      </c>
      <c r="AM16" s="259"/>
      <c r="AN16" s="176">
        <v>0</v>
      </c>
      <c r="AO16" s="170"/>
      <c r="XFC16" s="160">
        <v>12</v>
      </c>
      <c r="XFD16" s="160" t="s">
        <v>150</v>
      </c>
    </row>
    <row r="17" spans="2:41" ht="18.75" customHeight="1">
      <c r="B17" s="166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83" t="s">
        <v>112</v>
      </c>
      <c r="Y17" s="184"/>
      <c r="Z17" s="184"/>
      <c r="AA17" s="184"/>
      <c r="AB17" s="184"/>
      <c r="AC17" s="260" t="s">
        <v>84</v>
      </c>
      <c r="AD17" s="260"/>
      <c r="AE17" s="184"/>
      <c r="AF17" s="184"/>
      <c r="AG17" s="184"/>
      <c r="AH17" s="184"/>
      <c r="AI17" s="184"/>
      <c r="AJ17" s="185" t="s">
        <v>113</v>
      </c>
      <c r="AK17" s="184"/>
      <c r="AL17" s="260" t="s">
        <v>84</v>
      </c>
      <c r="AM17" s="260"/>
      <c r="AN17" s="178"/>
      <c r="AO17" s="170"/>
    </row>
    <row r="18" spans="2:41">
      <c r="B18" s="166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70"/>
    </row>
    <row r="19" spans="2:41">
      <c r="B19" s="166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70"/>
    </row>
    <row r="20" spans="2:41" s="189" customFormat="1" ht="14.25">
      <c r="B20" s="186"/>
      <c r="C20" s="261" t="s">
        <v>54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 t="s">
        <v>114</v>
      </c>
      <c r="T20" s="261"/>
      <c r="U20" s="261"/>
      <c r="V20" s="261" t="s">
        <v>115</v>
      </c>
      <c r="W20" s="261"/>
      <c r="X20" s="261"/>
      <c r="Y20" s="261"/>
      <c r="Z20" s="261"/>
      <c r="AA20" s="261" t="s">
        <v>116</v>
      </c>
      <c r="AB20" s="261"/>
      <c r="AC20" s="261"/>
      <c r="AD20" s="261"/>
      <c r="AE20" s="261"/>
      <c r="AF20" s="261" t="s">
        <v>52</v>
      </c>
      <c r="AG20" s="261"/>
      <c r="AH20" s="261"/>
      <c r="AI20" s="261"/>
      <c r="AJ20" s="261"/>
      <c r="AK20" s="187"/>
      <c r="AL20" s="187"/>
      <c r="AM20" s="187"/>
      <c r="AN20" s="187"/>
      <c r="AO20" s="188"/>
    </row>
    <row r="21" spans="2:41" s="189" customFormat="1" ht="14.25">
      <c r="B21" s="186"/>
      <c r="C21" s="262" t="str">
        <f>IF(Cálculos!C93="","",Cálculos!C93)</f>
        <v>Indeminização de Férias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3" t="str">
        <f>IF(Cálculos!D93="","",Cálculos!D93)</f>
        <v/>
      </c>
      <c r="T21" s="263"/>
      <c r="U21" s="263"/>
      <c r="V21" s="264" t="str">
        <f>IF(Cálculos!G93="","",Cálculos!G93)</f>
        <v/>
      </c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187"/>
      <c r="AL21" s="187"/>
      <c r="AM21" s="187"/>
      <c r="AN21" s="187"/>
      <c r="AO21" s="188"/>
    </row>
    <row r="22" spans="2:41" s="189" customFormat="1" ht="14.25">
      <c r="B22" s="186"/>
      <c r="C22" s="262" t="str">
        <f>IF(Cálculos!C94="","",Cálculos!C94)</f>
        <v>Subsidio de Férias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3" t="str">
        <f>IF(Cálculos!D94="","",Cálculos!D94)</f>
        <v/>
      </c>
      <c r="T22" s="263"/>
      <c r="U22" s="263"/>
      <c r="V22" s="264" t="str">
        <f>IF(Cálculos!G94="","",Cálculos!G94)</f>
        <v/>
      </c>
      <c r="W22" s="264"/>
      <c r="X22" s="264"/>
      <c r="Y22" s="264"/>
      <c r="Z22" s="264"/>
      <c r="AA22" s="264" t="s">
        <v>84</v>
      </c>
      <c r="AB22" s="264"/>
      <c r="AC22" s="264"/>
      <c r="AD22" s="264"/>
      <c r="AE22" s="264"/>
      <c r="AF22" s="264"/>
      <c r="AG22" s="264"/>
      <c r="AH22" s="264"/>
      <c r="AI22" s="264"/>
      <c r="AJ22" s="264"/>
      <c r="AK22" s="187"/>
      <c r="AL22" s="187"/>
      <c r="AM22" s="187"/>
      <c r="AN22" s="187"/>
      <c r="AO22" s="188"/>
    </row>
    <row r="23" spans="2:41" s="189" customFormat="1" ht="14.25">
      <c r="B23" s="186"/>
      <c r="C23" s="262" t="str">
        <f>IF(Cálculos!C95="","",Cálculos!C95)</f>
        <v>Proporcionais de Subsidio de férias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3" t="str">
        <f>IF(Cálculos!D95="","",Cálculos!D95)</f>
        <v/>
      </c>
      <c r="T23" s="263"/>
      <c r="U23" s="263"/>
      <c r="V23" s="264" t="str">
        <f>IF(Cálculos!G95="","",Cálculos!G95)</f>
        <v/>
      </c>
      <c r="W23" s="264"/>
      <c r="X23" s="264"/>
      <c r="Y23" s="264"/>
      <c r="Z23" s="264"/>
      <c r="AA23" s="264" t="s">
        <v>84</v>
      </c>
      <c r="AB23" s="264"/>
      <c r="AC23" s="264"/>
      <c r="AD23" s="264"/>
      <c r="AE23" s="264"/>
      <c r="AF23" s="264"/>
      <c r="AG23" s="264"/>
      <c r="AH23" s="264"/>
      <c r="AI23" s="264"/>
      <c r="AJ23" s="264"/>
      <c r="AK23" s="187"/>
      <c r="AL23" s="187"/>
      <c r="AM23" s="187"/>
      <c r="AN23" s="187"/>
      <c r="AO23" s="188"/>
    </row>
    <row r="24" spans="2:41" s="189" customFormat="1" ht="14.25">
      <c r="B24" s="186"/>
      <c r="C24" s="262" t="str">
        <f>IF(Cálculos!C96="","",Cálculos!C96)</f>
        <v>Subsidio de Natal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3" t="str">
        <f>IF(Cálculos!D96="","",Cálculos!D96)</f>
        <v/>
      </c>
      <c r="T24" s="263"/>
      <c r="U24" s="263"/>
      <c r="V24" s="264" t="str">
        <f>IF(Cálculos!G96="","",Cálculos!G96)</f>
        <v/>
      </c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187"/>
      <c r="AL24" s="187"/>
      <c r="AM24" s="187"/>
      <c r="AN24" s="187"/>
      <c r="AO24" s="188"/>
    </row>
    <row r="25" spans="2:41" s="189" customFormat="1" ht="14.25">
      <c r="B25" s="186"/>
      <c r="C25" s="262" t="str">
        <f>IF(Cálculos!C97="","",Cálculos!C97)</f>
        <v>Proporcionais de Subsidio de Natal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3" t="str">
        <f>IF(Cálculos!D97="","",Cálculos!D97)</f>
        <v/>
      </c>
      <c r="T25" s="263"/>
      <c r="U25" s="263"/>
      <c r="V25" s="264" t="str">
        <f>IF(Cálculos!G97="","",Cálculos!G97)</f>
        <v/>
      </c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187"/>
      <c r="AL25" s="187"/>
      <c r="AM25" s="187"/>
      <c r="AN25" s="187"/>
      <c r="AO25" s="188"/>
    </row>
    <row r="26" spans="2:41" s="189" customFormat="1" ht="14.25">
      <c r="B26" s="186"/>
      <c r="C26" s="262" t="str">
        <f>IF(Cálculos!C98="","",Cálculos!C98)</f>
        <v/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3" t="str">
        <f>IF(Cálculos!D98="","",Cálculos!D98)</f>
        <v/>
      </c>
      <c r="T26" s="263"/>
      <c r="U26" s="263"/>
      <c r="V26" s="264" t="str">
        <f>IF(Cálculos!G98="","",Cálculos!G98)</f>
        <v/>
      </c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187"/>
      <c r="AL26" s="187"/>
      <c r="AM26" s="187"/>
      <c r="AN26" s="187"/>
      <c r="AO26" s="188"/>
    </row>
    <row r="27" spans="2:41" s="189" customFormat="1" ht="14.25">
      <c r="B27" s="186"/>
      <c r="C27" s="262" t="str">
        <f>IF(Cálculos!C99="","",Cálculos!C99)</f>
        <v/>
      </c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3" t="str">
        <f>IF(Cálculos!D99="","",Cálculos!D99)</f>
        <v/>
      </c>
      <c r="T27" s="263"/>
      <c r="U27" s="263"/>
      <c r="V27" s="264" t="str">
        <f>IF(Cálculos!G99="","",Cálculos!G99)</f>
        <v/>
      </c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187"/>
      <c r="AL27" s="187"/>
      <c r="AM27" s="187"/>
      <c r="AN27" s="187"/>
      <c r="AO27" s="188"/>
    </row>
    <row r="28" spans="2:41" s="189" customFormat="1" ht="14.25">
      <c r="B28" s="186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3" t="s">
        <v>84</v>
      </c>
      <c r="T28" s="263"/>
      <c r="U28" s="263"/>
      <c r="V28" s="264" t="s">
        <v>84</v>
      </c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187"/>
      <c r="AL28" s="187"/>
      <c r="AM28" s="187"/>
      <c r="AN28" s="187"/>
      <c r="AO28" s="188"/>
    </row>
    <row r="29" spans="2:41" s="189" customFormat="1" ht="14.25">
      <c r="B29" s="186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3"/>
      <c r="T29" s="263"/>
      <c r="U29" s="263"/>
      <c r="V29" s="264" t="s">
        <v>84</v>
      </c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187"/>
      <c r="AL29" s="187"/>
      <c r="AM29" s="187"/>
      <c r="AN29" s="187"/>
      <c r="AO29" s="188"/>
    </row>
    <row r="30" spans="2:41" s="189" customFormat="1" ht="14.25">
      <c r="B30" s="186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3"/>
      <c r="T30" s="263"/>
      <c r="U30" s="263"/>
      <c r="V30" s="264" t="s">
        <v>84</v>
      </c>
      <c r="W30" s="264"/>
      <c r="X30" s="264"/>
      <c r="Y30" s="264"/>
      <c r="Z30" s="264"/>
      <c r="AA30" s="264"/>
      <c r="AB30" s="264"/>
      <c r="AC30" s="264"/>
      <c r="AD30" s="264"/>
      <c r="AE30" s="264"/>
      <c r="AF30" s="268"/>
      <c r="AG30" s="269"/>
      <c r="AH30" s="269"/>
      <c r="AI30" s="269"/>
      <c r="AJ30" s="270"/>
      <c r="AK30" s="187"/>
      <c r="AL30" s="187"/>
      <c r="AM30" s="187"/>
      <c r="AN30" s="187"/>
      <c r="AO30" s="188"/>
    </row>
    <row r="31" spans="2:41" s="189" customFormat="1" ht="14.25">
      <c r="B31" s="186"/>
      <c r="C31" s="265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66"/>
      <c r="S31" s="190"/>
      <c r="T31" s="191"/>
      <c r="U31" s="192"/>
      <c r="V31" s="264" t="s">
        <v>84</v>
      </c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187"/>
      <c r="AL31" s="187"/>
      <c r="AM31" s="187"/>
      <c r="AN31" s="187"/>
      <c r="AO31" s="188"/>
    </row>
    <row r="32" spans="2:41" s="189" customFormat="1" ht="14.25">
      <c r="B32" s="186"/>
      <c r="C32" s="193" t="s">
        <v>117</v>
      </c>
      <c r="D32" s="187"/>
      <c r="E32" s="187"/>
      <c r="F32" s="187"/>
      <c r="G32" s="175" t="s">
        <v>154</v>
      </c>
      <c r="H32" s="267" t="e">
        <f>AF32/V34</f>
        <v>#DIV/0!</v>
      </c>
      <c r="I32" s="267"/>
      <c r="J32" s="267"/>
      <c r="K32" s="187"/>
      <c r="L32" s="187"/>
      <c r="M32" s="187"/>
      <c r="N32" s="187"/>
      <c r="O32" s="187"/>
      <c r="P32" s="187"/>
      <c r="Q32" s="187"/>
      <c r="R32" s="194"/>
      <c r="S32" s="190"/>
      <c r="T32" s="191"/>
      <c r="U32" s="192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>
        <f>-SUM(Cálculos!J93:J98)</f>
        <v>0</v>
      </c>
      <c r="AG32" s="264"/>
      <c r="AH32" s="264"/>
      <c r="AI32" s="264"/>
      <c r="AJ32" s="264"/>
      <c r="AK32" s="187"/>
      <c r="AL32" s="187"/>
      <c r="AM32" s="187"/>
      <c r="AN32" s="187"/>
      <c r="AO32" s="188"/>
    </row>
    <row r="33" spans="2:41" s="189" customFormat="1" ht="14.25">
      <c r="B33" s="186"/>
      <c r="C33" s="193" t="s">
        <v>119</v>
      </c>
      <c r="D33" s="187"/>
      <c r="E33" s="187"/>
      <c r="F33" s="187"/>
      <c r="G33" s="175" t="s">
        <v>118</v>
      </c>
      <c r="H33" s="267">
        <f>IF(AF33=0,0,IF(Cálculos!$D$14="","",VLOOKUP(Cálculos!$D$14,'Tx.Contributiva Seg.Social'!$B$6:$D$22,2,FALSE)))</f>
        <v>0</v>
      </c>
      <c r="I33" s="267"/>
      <c r="J33" s="267"/>
      <c r="K33" s="271"/>
      <c r="L33" s="271"/>
      <c r="M33" s="271"/>
      <c r="N33" s="187"/>
      <c r="O33" s="187"/>
      <c r="P33" s="187"/>
      <c r="Q33" s="187"/>
      <c r="R33" s="194"/>
      <c r="S33" s="190"/>
      <c r="T33" s="191"/>
      <c r="U33" s="192"/>
      <c r="V33" s="268"/>
      <c r="W33" s="269"/>
      <c r="X33" s="269"/>
      <c r="Y33" s="269"/>
      <c r="Z33" s="270"/>
      <c r="AA33" s="268"/>
      <c r="AB33" s="269"/>
      <c r="AC33" s="269"/>
      <c r="AD33" s="269"/>
      <c r="AE33" s="270"/>
      <c r="AF33" s="264">
        <f>-SUM(Cálculos!L93:L98)</f>
        <v>0</v>
      </c>
      <c r="AG33" s="264"/>
      <c r="AH33" s="264"/>
      <c r="AI33" s="264"/>
      <c r="AJ33" s="264"/>
      <c r="AK33" s="187"/>
      <c r="AL33" s="187"/>
      <c r="AM33" s="187"/>
      <c r="AN33" s="187"/>
      <c r="AO33" s="188"/>
    </row>
    <row r="34" spans="2:41" s="189" customFormat="1" ht="14.25">
      <c r="B34" s="186"/>
      <c r="C34" s="272" t="s">
        <v>120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4"/>
      <c r="S34" s="275"/>
      <c r="T34" s="275"/>
      <c r="U34" s="275"/>
      <c r="V34" s="276">
        <f>SUM(V21:Z33)</f>
        <v>0</v>
      </c>
      <c r="W34" s="276"/>
      <c r="X34" s="276"/>
      <c r="Y34" s="276"/>
      <c r="Z34" s="276"/>
      <c r="AA34" s="276">
        <f>SUM(AA21:AE33)</f>
        <v>0</v>
      </c>
      <c r="AB34" s="276"/>
      <c r="AC34" s="276"/>
      <c r="AD34" s="276"/>
      <c r="AE34" s="276"/>
      <c r="AF34" s="276">
        <f>SUM(AF21:AJ33)</f>
        <v>0</v>
      </c>
      <c r="AG34" s="276"/>
      <c r="AH34" s="276"/>
      <c r="AI34" s="276"/>
      <c r="AJ34" s="276"/>
      <c r="AK34" s="187"/>
      <c r="AL34" s="187"/>
      <c r="AM34" s="187"/>
      <c r="AN34" s="187"/>
      <c r="AO34" s="188"/>
    </row>
    <row r="35" spans="2:41" s="189" customFormat="1" ht="15" thickBot="1">
      <c r="B35" s="186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6"/>
      <c r="Q35" s="196"/>
      <c r="R35" s="196"/>
      <c r="S35" s="256"/>
      <c r="T35" s="256"/>
      <c r="U35" s="256"/>
      <c r="V35" s="279"/>
      <c r="W35" s="279"/>
      <c r="X35" s="279"/>
      <c r="Y35" s="279"/>
      <c r="Z35" s="279"/>
      <c r="AA35" s="279"/>
      <c r="AB35" s="279"/>
      <c r="AC35" s="279"/>
      <c r="AD35" s="279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8"/>
    </row>
    <row r="36" spans="2:41" s="189" customFormat="1" ht="15" thickBot="1">
      <c r="B36" s="186"/>
      <c r="C36" s="187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6"/>
      <c r="Q36" s="196"/>
      <c r="R36" s="196"/>
      <c r="S36" s="191"/>
      <c r="T36" s="191"/>
      <c r="U36" s="191"/>
      <c r="V36" s="197"/>
      <c r="W36" s="197"/>
      <c r="X36" s="197"/>
      <c r="Y36" s="187" t="s">
        <v>121</v>
      </c>
      <c r="Z36" s="187"/>
      <c r="AA36" s="187"/>
      <c r="AB36" s="187"/>
      <c r="AC36" s="187"/>
      <c r="AD36" s="187"/>
      <c r="AE36" s="187"/>
      <c r="AF36" s="280">
        <f>V34+AA34-AF34</f>
        <v>0</v>
      </c>
      <c r="AG36" s="281"/>
      <c r="AH36" s="281"/>
      <c r="AI36" s="281"/>
      <c r="AJ36" s="282"/>
      <c r="AK36" s="187"/>
      <c r="AL36" s="187"/>
      <c r="AM36" s="187"/>
      <c r="AN36" s="187"/>
      <c r="AO36" s="188"/>
    </row>
    <row r="37" spans="2:41" s="189" customFormat="1" ht="14.25">
      <c r="B37" s="186"/>
      <c r="C37" s="187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6"/>
      <c r="Q37" s="196"/>
      <c r="R37" s="196"/>
      <c r="S37" s="191"/>
      <c r="T37" s="191"/>
      <c r="U37" s="191"/>
      <c r="V37" s="197"/>
      <c r="W37" s="197"/>
      <c r="X37" s="197"/>
      <c r="Y37" s="187"/>
      <c r="Z37" s="187"/>
      <c r="AA37" s="187"/>
      <c r="AB37" s="187"/>
      <c r="AC37" s="187"/>
      <c r="AD37" s="187"/>
      <c r="AE37" s="187"/>
      <c r="AF37" s="198"/>
      <c r="AG37" s="198"/>
      <c r="AH37" s="198"/>
      <c r="AI37" s="198"/>
      <c r="AJ37" s="198"/>
      <c r="AK37" s="187"/>
      <c r="AL37" s="187"/>
      <c r="AM37" s="187"/>
      <c r="AN37" s="187"/>
      <c r="AO37" s="188"/>
    </row>
    <row r="38" spans="2:41" s="189" customFormat="1" ht="14.25">
      <c r="B38" s="186"/>
      <c r="C38" s="187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6"/>
      <c r="Q38" s="196"/>
      <c r="R38" s="196"/>
      <c r="S38" s="191"/>
      <c r="T38" s="191"/>
      <c r="U38" s="191"/>
      <c r="V38" s="197"/>
      <c r="W38" s="197"/>
      <c r="X38" s="197"/>
      <c r="Y38" s="187"/>
      <c r="Z38" s="187"/>
      <c r="AA38" s="187"/>
      <c r="AB38" s="187"/>
      <c r="AC38" s="187"/>
      <c r="AD38" s="187"/>
      <c r="AE38" s="187"/>
      <c r="AF38" s="198"/>
      <c r="AG38" s="198"/>
      <c r="AH38" s="198"/>
      <c r="AI38" s="198"/>
      <c r="AJ38" s="198"/>
      <c r="AK38" s="187"/>
      <c r="AL38" s="187"/>
      <c r="AM38" s="187"/>
      <c r="AN38" s="187"/>
      <c r="AO38" s="188"/>
    </row>
    <row r="39" spans="2:41" s="189" customFormat="1" ht="14.25">
      <c r="B39" s="186"/>
      <c r="C39" s="187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6"/>
      <c r="Q39" s="196"/>
      <c r="R39" s="196"/>
      <c r="S39" s="191"/>
      <c r="T39" s="191"/>
      <c r="U39" s="191"/>
      <c r="V39" s="261" t="s">
        <v>122</v>
      </c>
      <c r="W39" s="261"/>
      <c r="X39" s="261"/>
      <c r="Y39" s="261"/>
      <c r="Z39" s="261"/>
      <c r="AA39" s="261" t="s">
        <v>123</v>
      </c>
      <c r="AB39" s="261"/>
      <c r="AC39" s="261"/>
      <c r="AD39" s="261"/>
      <c r="AE39" s="261"/>
      <c r="AF39" s="261" t="s">
        <v>124</v>
      </c>
      <c r="AG39" s="261"/>
      <c r="AH39" s="261"/>
      <c r="AI39" s="261"/>
      <c r="AJ39" s="261"/>
      <c r="AK39" s="187"/>
      <c r="AL39" s="187"/>
      <c r="AM39" s="187"/>
      <c r="AN39" s="187"/>
      <c r="AO39" s="188"/>
    </row>
    <row r="40" spans="2:41" s="189" customFormat="1" ht="14.25">
      <c r="B40" s="186"/>
      <c r="C40" s="187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6"/>
      <c r="Q40" s="196"/>
      <c r="R40" s="196"/>
      <c r="S40" s="191"/>
      <c r="T40" s="191"/>
      <c r="U40" s="191"/>
      <c r="V40" s="276">
        <f>AF36</f>
        <v>0</v>
      </c>
      <c r="W40" s="277"/>
      <c r="X40" s="277"/>
      <c r="Y40" s="277"/>
      <c r="Z40" s="277"/>
      <c r="AA40" s="277">
        <f>Cálculos!G90</f>
        <v>0</v>
      </c>
      <c r="AB40" s="277"/>
      <c r="AC40" s="277"/>
      <c r="AD40" s="277"/>
      <c r="AE40" s="277"/>
      <c r="AF40" s="276">
        <f>V40+AA40</f>
        <v>0</v>
      </c>
      <c r="AG40" s="277"/>
      <c r="AH40" s="277"/>
      <c r="AI40" s="277"/>
      <c r="AJ40" s="277"/>
      <c r="AK40" s="187"/>
      <c r="AL40" s="278" t="s">
        <v>84</v>
      </c>
      <c r="AM40" s="278"/>
      <c r="AN40" s="278"/>
      <c r="AO40" s="188"/>
    </row>
    <row r="41" spans="2:41" s="189" customFormat="1" ht="14.25">
      <c r="B41" s="186"/>
      <c r="C41" s="187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6"/>
      <c r="Q41" s="196"/>
      <c r="R41" s="196"/>
      <c r="S41" s="191"/>
      <c r="T41" s="191"/>
      <c r="U41" s="191"/>
      <c r="V41" s="197"/>
      <c r="W41" s="197"/>
      <c r="X41" s="197"/>
      <c r="Y41" s="187"/>
      <c r="Z41" s="187"/>
      <c r="AA41" s="187"/>
      <c r="AB41" s="187"/>
      <c r="AC41" s="187"/>
      <c r="AD41" s="187"/>
      <c r="AE41" s="187"/>
      <c r="AF41" s="198"/>
      <c r="AG41" s="198"/>
      <c r="AH41" s="198"/>
      <c r="AI41" s="198"/>
      <c r="AJ41" s="198"/>
      <c r="AK41" s="187"/>
      <c r="AL41" s="278"/>
      <c r="AM41" s="278"/>
      <c r="AN41" s="278"/>
      <c r="AO41" s="188"/>
    </row>
    <row r="42" spans="2:41" s="189" customFormat="1" ht="14.25">
      <c r="B42" s="186"/>
      <c r="C42" s="199" t="s">
        <v>125</v>
      </c>
      <c r="D42" s="195"/>
      <c r="E42" s="195"/>
      <c r="F42" s="195"/>
      <c r="G42" s="195"/>
      <c r="H42" s="195"/>
      <c r="I42" s="195"/>
      <c r="J42" s="195">
        <f>Cálculos!L90</f>
        <v>0</v>
      </c>
      <c r="K42" s="195"/>
      <c r="L42" s="195"/>
      <c r="M42" s="195"/>
      <c r="N42" s="195"/>
      <c r="O42" s="195"/>
      <c r="P42" s="196"/>
      <c r="Q42" s="196"/>
      <c r="R42" s="196"/>
      <c r="S42" s="191"/>
      <c r="T42" s="191"/>
      <c r="U42" s="191"/>
      <c r="V42" s="200" t="s">
        <v>126</v>
      </c>
      <c r="W42" s="197"/>
      <c r="X42" s="197"/>
      <c r="Y42" s="187"/>
      <c r="Z42" s="187"/>
      <c r="AA42" s="187"/>
      <c r="AB42" s="187"/>
      <c r="AC42" s="187"/>
      <c r="AD42" s="187"/>
      <c r="AE42" s="187"/>
      <c r="AF42" s="198"/>
      <c r="AG42" s="198"/>
      <c r="AH42" s="198"/>
      <c r="AI42" s="198"/>
      <c r="AJ42" s="198"/>
      <c r="AK42" s="187"/>
      <c r="AL42" s="278"/>
      <c r="AM42" s="278"/>
      <c r="AN42" s="278"/>
      <c r="AO42" s="188"/>
    </row>
    <row r="43" spans="2:41" s="189" customFormat="1" ht="14.25">
      <c r="B43" s="186"/>
      <c r="C43" s="199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6"/>
      <c r="Q43" s="196"/>
      <c r="R43" s="196"/>
      <c r="S43" s="191"/>
      <c r="T43" s="191"/>
      <c r="U43" s="191"/>
      <c r="V43" s="197"/>
      <c r="W43" s="197"/>
      <c r="X43" s="197"/>
      <c r="Y43" s="187"/>
      <c r="Z43" s="187"/>
      <c r="AA43" s="187"/>
      <c r="AB43" s="187"/>
      <c r="AC43" s="187"/>
      <c r="AD43" s="187"/>
      <c r="AE43" s="187"/>
      <c r="AF43" s="198"/>
      <c r="AG43" s="198"/>
      <c r="AH43" s="198"/>
      <c r="AI43" s="198"/>
      <c r="AJ43" s="198"/>
      <c r="AK43" s="187"/>
      <c r="AL43" s="278"/>
      <c r="AM43" s="278"/>
      <c r="AN43" s="278"/>
      <c r="AO43" s="188"/>
    </row>
    <row r="44" spans="2:41" s="189" customFormat="1" ht="14.25">
      <c r="B44" s="186"/>
      <c r="C44" s="199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6"/>
      <c r="Q44" s="196"/>
      <c r="R44" s="196"/>
      <c r="S44" s="191"/>
      <c r="T44" s="191"/>
      <c r="U44" s="191"/>
      <c r="V44" s="201"/>
      <c r="W44" s="201"/>
      <c r="X44" s="201"/>
      <c r="Y44" s="202"/>
      <c r="Z44" s="202"/>
      <c r="AA44" s="202"/>
      <c r="AB44" s="202"/>
      <c r="AC44" s="202"/>
      <c r="AD44" s="202"/>
      <c r="AE44" s="202"/>
      <c r="AF44" s="203"/>
      <c r="AG44" s="203"/>
      <c r="AH44" s="203"/>
      <c r="AI44" s="203"/>
      <c r="AJ44" s="203"/>
      <c r="AK44" s="187"/>
      <c r="AL44" s="187"/>
      <c r="AM44" s="187"/>
      <c r="AN44" s="187"/>
      <c r="AO44" s="188"/>
    </row>
    <row r="45" spans="2:41" s="189" customFormat="1" ht="14.25">
      <c r="B45" s="186"/>
      <c r="C45" s="187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6"/>
      <c r="Q45" s="196"/>
      <c r="R45" s="196"/>
      <c r="S45" s="191"/>
      <c r="T45" s="191"/>
      <c r="U45" s="191"/>
      <c r="V45" s="197"/>
      <c r="W45" s="197"/>
      <c r="X45" s="197"/>
      <c r="Y45" s="187"/>
      <c r="Z45" s="187"/>
      <c r="AA45" s="187"/>
      <c r="AB45" s="187"/>
      <c r="AC45" s="187"/>
      <c r="AD45" s="187"/>
      <c r="AE45" s="187"/>
      <c r="AF45" s="198"/>
      <c r="AG45" s="198"/>
      <c r="AH45" s="198"/>
      <c r="AI45" s="198"/>
      <c r="AJ45" s="198"/>
      <c r="AK45" s="187"/>
      <c r="AL45" s="187"/>
      <c r="AM45" s="187"/>
      <c r="AN45" s="187"/>
      <c r="AO45" s="188"/>
    </row>
    <row r="46" spans="2:41" ht="13.5" thickBot="1">
      <c r="B46" s="204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6"/>
    </row>
    <row r="47" spans="2:41" ht="29.25" customHeight="1" thickTop="1" thickBot="1"/>
    <row r="48" spans="2:41" ht="6.75" customHeight="1" thickTop="1"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5"/>
    </row>
    <row r="49" spans="2:41" ht="38.25" customHeight="1">
      <c r="B49" s="166"/>
      <c r="C49" s="167" t="s">
        <v>83</v>
      </c>
      <c r="D49" s="168"/>
      <c r="E49" s="168"/>
      <c r="F49" s="168"/>
      <c r="G49" s="168"/>
      <c r="H49" s="168"/>
      <c r="I49" s="168"/>
      <c r="J49" s="167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9" t="s">
        <v>127</v>
      </c>
      <c r="AN49" s="168"/>
      <c r="AO49" s="170"/>
    </row>
    <row r="50" spans="2:41">
      <c r="B50" s="166"/>
      <c r="C50" s="171" t="s">
        <v>86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 t="s">
        <v>87</v>
      </c>
      <c r="O50" s="254" t="str">
        <f>O5</f>
        <v/>
      </c>
      <c r="P50" s="254"/>
      <c r="Q50" s="254"/>
      <c r="R50" s="254"/>
      <c r="S50" s="255"/>
      <c r="T50" s="168"/>
      <c r="U50" s="168"/>
      <c r="V50" s="168"/>
      <c r="W50" s="168"/>
      <c r="X50" s="171" t="s">
        <v>88</v>
      </c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 t="s">
        <v>89</v>
      </c>
      <c r="AJ50" s="254">
        <f>AJ5</f>
        <v>0</v>
      </c>
      <c r="AK50" s="254"/>
      <c r="AL50" s="254"/>
      <c r="AM50" s="254"/>
      <c r="AN50" s="255"/>
      <c r="AO50" s="170"/>
    </row>
    <row r="51" spans="2:41" ht="14.25">
      <c r="B51" s="166"/>
      <c r="C51" s="174" t="s">
        <v>90</v>
      </c>
      <c r="D51" s="168"/>
      <c r="E51" s="168"/>
      <c r="F51" s="247">
        <f>F6</f>
        <v>0</v>
      </c>
      <c r="G51" s="247"/>
      <c r="H51" s="247"/>
      <c r="I51" s="247"/>
      <c r="J51" s="247"/>
      <c r="K51" s="247"/>
      <c r="L51" s="247"/>
      <c r="M51" s="247"/>
      <c r="N51" s="175" t="s">
        <v>89</v>
      </c>
      <c r="O51" s="247">
        <f>O6</f>
        <v>0</v>
      </c>
      <c r="P51" s="247"/>
      <c r="Q51" s="247"/>
      <c r="R51" s="247"/>
      <c r="S51" s="248"/>
      <c r="T51" s="168"/>
      <c r="U51" s="168"/>
      <c r="V51" s="168"/>
      <c r="W51" s="168"/>
      <c r="X51" s="244">
        <f>X6</f>
        <v>0</v>
      </c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176"/>
      <c r="AO51" s="170"/>
    </row>
    <row r="52" spans="2:41" ht="14.25">
      <c r="B52" s="166"/>
      <c r="C52" s="174" t="s">
        <v>91</v>
      </c>
      <c r="D52" s="168"/>
      <c r="E52" s="168"/>
      <c r="F52" s="246">
        <f>F7</f>
        <v>0</v>
      </c>
      <c r="G52" s="246"/>
      <c r="H52" s="246"/>
      <c r="I52" s="246"/>
      <c r="J52" s="246"/>
      <c r="K52" s="168"/>
      <c r="L52" s="168"/>
      <c r="M52" s="168"/>
      <c r="N52" s="175" t="s">
        <v>92</v>
      </c>
      <c r="O52" s="247">
        <f>O7</f>
        <v>0</v>
      </c>
      <c r="P52" s="247"/>
      <c r="Q52" s="247"/>
      <c r="R52" s="247"/>
      <c r="S52" s="248"/>
      <c r="T52" s="168"/>
      <c r="U52" s="168"/>
      <c r="V52" s="168"/>
      <c r="W52" s="168"/>
      <c r="X52" s="244">
        <f>X7</f>
        <v>0</v>
      </c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176"/>
      <c r="AO52" s="170"/>
    </row>
    <row r="53" spans="2:41" ht="14.25">
      <c r="B53" s="166"/>
      <c r="C53" s="244" t="s">
        <v>93</v>
      </c>
      <c r="D53" s="245"/>
      <c r="E53" s="245"/>
      <c r="F53" s="246">
        <f>F8</f>
        <v>0</v>
      </c>
      <c r="G53" s="246"/>
      <c r="H53" s="246"/>
      <c r="I53" s="246"/>
      <c r="J53" s="246"/>
      <c r="K53" s="168"/>
      <c r="L53" s="168"/>
      <c r="M53" s="168"/>
      <c r="N53" s="177" t="s">
        <v>94</v>
      </c>
      <c r="O53" s="247">
        <f>O8</f>
        <v>0</v>
      </c>
      <c r="P53" s="247"/>
      <c r="Q53" s="247"/>
      <c r="R53" s="247"/>
      <c r="S53" s="248"/>
      <c r="T53" s="168"/>
      <c r="U53" s="168"/>
      <c r="V53" s="168"/>
      <c r="W53" s="168"/>
      <c r="X53" s="249">
        <f>X8</f>
        <v>0</v>
      </c>
      <c r="Y53" s="250"/>
      <c r="Z53" s="250"/>
      <c r="AA53" s="250">
        <f>AA8</f>
        <v>0</v>
      </c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178"/>
      <c r="AO53" s="170"/>
    </row>
    <row r="54" spans="2:41">
      <c r="B54" s="166"/>
      <c r="C54" s="174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76"/>
      <c r="T54" s="168"/>
      <c r="U54" s="168"/>
      <c r="V54" s="168"/>
      <c r="W54" s="168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68"/>
      <c r="AO54" s="170"/>
    </row>
    <row r="55" spans="2:41" ht="14.25">
      <c r="B55" s="166"/>
      <c r="C55" s="174" t="s">
        <v>95</v>
      </c>
      <c r="D55" s="168"/>
      <c r="E55" s="168"/>
      <c r="F55" s="168"/>
      <c r="G55" s="251">
        <f>G10</f>
        <v>0</v>
      </c>
      <c r="H55" s="251"/>
      <c r="I55" s="245"/>
      <c r="J55" s="245"/>
      <c r="K55" s="245"/>
      <c r="L55" s="245"/>
      <c r="M55" s="245"/>
      <c r="N55" s="245"/>
      <c r="O55" s="245"/>
      <c r="P55" s="168"/>
      <c r="Q55" s="168"/>
      <c r="R55" s="168"/>
      <c r="S55" s="176"/>
      <c r="T55" s="168"/>
      <c r="U55" s="168"/>
      <c r="V55" s="168"/>
      <c r="W55" s="168"/>
      <c r="X55" s="180" t="s">
        <v>96</v>
      </c>
      <c r="Y55" s="172"/>
      <c r="Z55" s="252" t="str">
        <f>Z10</f>
        <v/>
      </c>
      <c r="AA55" s="252"/>
      <c r="AB55" s="252"/>
      <c r="AC55" s="252"/>
      <c r="AD55" s="172"/>
      <c r="AE55" s="172"/>
      <c r="AF55" s="172"/>
      <c r="AG55" s="172" t="s">
        <v>97</v>
      </c>
      <c r="AH55" s="172"/>
      <c r="AI55" s="172"/>
      <c r="AJ55" s="253" t="str">
        <f>AJ10</f>
        <v/>
      </c>
      <c r="AK55" s="253"/>
      <c r="AL55" s="253"/>
      <c r="AM55" s="253"/>
      <c r="AN55" s="181"/>
      <c r="AO55" s="170"/>
    </row>
    <row r="56" spans="2:41" ht="18.75" customHeight="1">
      <c r="B56" s="166"/>
      <c r="C56" s="174" t="s">
        <v>98</v>
      </c>
      <c r="D56" s="168"/>
      <c r="E56" s="168"/>
      <c r="F56" s="168"/>
      <c r="G56" s="251">
        <f>G11</f>
        <v>0</v>
      </c>
      <c r="H56" s="251"/>
      <c r="I56" s="251"/>
      <c r="J56" s="245"/>
      <c r="K56" s="245"/>
      <c r="L56" s="245"/>
      <c r="M56" s="245"/>
      <c r="N56" s="168"/>
      <c r="O56" s="168"/>
      <c r="P56" s="168"/>
      <c r="Q56" s="168"/>
      <c r="R56" s="168"/>
      <c r="S56" s="176"/>
      <c r="T56" s="168"/>
      <c r="U56" s="168"/>
      <c r="V56" s="168"/>
      <c r="W56" s="168"/>
      <c r="X56" s="174" t="s">
        <v>99</v>
      </c>
      <c r="Y56" s="168"/>
      <c r="Z56" s="168"/>
      <c r="AA56" s="168"/>
      <c r="AB56" s="257">
        <f>AB11</f>
        <v>0</v>
      </c>
      <c r="AC56" s="257"/>
      <c r="AD56" s="257"/>
      <c r="AE56" s="168"/>
      <c r="AF56" s="168"/>
      <c r="AG56" s="168"/>
      <c r="AH56" s="168"/>
      <c r="AI56" s="168"/>
      <c r="AJ56" s="182" t="s">
        <v>100</v>
      </c>
      <c r="AK56" s="257" t="str">
        <f>AK11</f>
        <v/>
      </c>
      <c r="AL56" s="257"/>
      <c r="AM56" s="257"/>
      <c r="AN56" s="176"/>
      <c r="AO56" s="170"/>
    </row>
    <row r="57" spans="2:41" ht="14.25">
      <c r="B57" s="166"/>
      <c r="C57" s="183" t="s">
        <v>101</v>
      </c>
      <c r="D57" s="184"/>
      <c r="E57" s="184"/>
      <c r="F57" s="184"/>
      <c r="G57" s="258">
        <f>G12</f>
        <v>0</v>
      </c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184"/>
      <c r="S57" s="178"/>
      <c r="T57" s="168"/>
      <c r="U57" s="168"/>
      <c r="V57" s="168"/>
      <c r="W57" s="168"/>
      <c r="X57" s="174" t="s">
        <v>102</v>
      </c>
      <c r="Y57" s="168"/>
      <c r="Z57" s="168"/>
      <c r="AA57" s="256">
        <f>AA12</f>
        <v>0</v>
      </c>
      <c r="AB57" s="256"/>
      <c r="AC57" s="168"/>
      <c r="AD57" s="168"/>
      <c r="AE57" s="168"/>
      <c r="AF57" s="168"/>
      <c r="AG57" s="168"/>
      <c r="AH57" s="168"/>
      <c r="AI57" s="168"/>
      <c r="AJ57" s="182" t="s">
        <v>103</v>
      </c>
      <c r="AK57" s="257" t="str">
        <f>AK12</f>
        <v/>
      </c>
      <c r="AL57" s="257"/>
      <c r="AM57" s="257"/>
      <c r="AN57" s="176"/>
      <c r="AO57" s="170"/>
    </row>
    <row r="58" spans="2:41" ht="18.75" customHeight="1">
      <c r="B58" s="166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74" t="s">
        <v>128</v>
      </c>
      <c r="Y58" s="168"/>
      <c r="Z58" s="168"/>
      <c r="AA58" s="168"/>
      <c r="AB58" s="168"/>
      <c r="AC58" s="256" t="str">
        <f>AC13</f>
        <v/>
      </c>
      <c r="AD58" s="256"/>
      <c r="AE58" s="168"/>
      <c r="AF58" s="168"/>
      <c r="AG58" s="168"/>
      <c r="AH58" s="168"/>
      <c r="AI58" s="168"/>
      <c r="AJ58" s="182" t="s">
        <v>129</v>
      </c>
      <c r="AK58" s="168"/>
      <c r="AL58" s="256" t="str">
        <f>AL13</f>
        <v/>
      </c>
      <c r="AM58" s="256"/>
      <c r="AN58" s="176"/>
      <c r="AO58" s="170"/>
    </row>
    <row r="59" spans="2:41" ht="14.25">
      <c r="B59" s="166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74" t="s">
        <v>106</v>
      </c>
      <c r="Y59" s="168"/>
      <c r="Z59" s="168"/>
      <c r="AA59" s="168"/>
      <c r="AB59" s="256" t="str">
        <f>AB14</f>
        <v/>
      </c>
      <c r="AC59" s="256"/>
      <c r="AD59" s="168"/>
      <c r="AE59" s="168"/>
      <c r="AF59" s="168"/>
      <c r="AG59" s="168"/>
      <c r="AH59" s="168"/>
      <c r="AI59" s="168"/>
      <c r="AJ59" s="182" t="s">
        <v>107</v>
      </c>
      <c r="AK59" s="168"/>
      <c r="AL59" s="256" t="str">
        <f>AL14</f>
        <v/>
      </c>
      <c r="AM59" s="256"/>
      <c r="AN59" s="176"/>
      <c r="AO59" s="170"/>
    </row>
    <row r="60" spans="2:41" ht="18.75" customHeight="1">
      <c r="B60" s="166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74" t="s">
        <v>108</v>
      </c>
      <c r="Y60" s="168"/>
      <c r="Z60" s="168"/>
      <c r="AA60" s="168"/>
      <c r="AB60" s="283" t="str">
        <f>AB15</f>
        <v/>
      </c>
      <c r="AC60" s="283"/>
      <c r="AD60" s="283"/>
      <c r="AE60" s="168"/>
      <c r="AF60" s="168"/>
      <c r="AG60" s="168"/>
      <c r="AH60" s="168"/>
      <c r="AI60" s="168"/>
      <c r="AJ60" s="182" t="s">
        <v>109</v>
      </c>
      <c r="AK60" s="257" t="str">
        <f>AK15</f>
        <v/>
      </c>
      <c r="AL60" s="257"/>
      <c r="AM60" s="257"/>
      <c r="AN60" s="176"/>
      <c r="AO60" s="170"/>
    </row>
    <row r="61" spans="2:41" ht="14.25">
      <c r="B61" s="166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74" t="s">
        <v>110</v>
      </c>
      <c r="Y61" s="168"/>
      <c r="Z61" s="168"/>
      <c r="AA61" s="168"/>
      <c r="AB61" s="207" t="str">
        <f>AC16</f>
        <v/>
      </c>
      <c r="AC61" s="259" t="str">
        <f>IF(V56="","",V56)</f>
        <v/>
      </c>
      <c r="AD61" s="259"/>
      <c r="AE61" s="168"/>
      <c r="AF61" s="168"/>
      <c r="AG61" s="168"/>
      <c r="AH61" s="168"/>
      <c r="AI61" s="168"/>
      <c r="AJ61" s="182" t="s">
        <v>111</v>
      </c>
      <c r="AK61" s="168"/>
      <c r="AL61" s="259" t="str">
        <f>AL16</f>
        <v/>
      </c>
      <c r="AM61" s="259"/>
      <c r="AN61" s="176" t="str">
        <f>IF(W58="","",W58)</f>
        <v/>
      </c>
      <c r="AO61" s="170"/>
    </row>
    <row r="62" spans="2:41" ht="18.75" customHeight="1">
      <c r="B62" s="166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83" t="s">
        <v>112</v>
      </c>
      <c r="Y62" s="184"/>
      <c r="Z62" s="184"/>
      <c r="AA62" s="184"/>
      <c r="AB62" s="184"/>
      <c r="AC62" s="260" t="str">
        <f>AC17</f>
        <v/>
      </c>
      <c r="AD62" s="260"/>
      <c r="AE62" s="184"/>
      <c r="AF62" s="184"/>
      <c r="AG62" s="184"/>
      <c r="AH62" s="184"/>
      <c r="AI62" s="184"/>
      <c r="AJ62" s="185" t="s">
        <v>113</v>
      </c>
      <c r="AK62" s="184"/>
      <c r="AL62" s="260" t="str">
        <f>AL17</f>
        <v/>
      </c>
      <c r="AM62" s="260"/>
      <c r="AN62" s="178"/>
      <c r="AO62" s="170"/>
    </row>
    <row r="63" spans="2:41">
      <c r="B63" s="166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70"/>
    </row>
    <row r="64" spans="2:41">
      <c r="B64" s="166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70"/>
    </row>
    <row r="65" spans="2:41" s="189" customFormat="1" ht="14.25" customHeight="1">
      <c r="B65" s="186"/>
      <c r="C65" s="261" t="s">
        <v>54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 t="s">
        <v>114</v>
      </c>
      <c r="T65" s="261"/>
      <c r="U65" s="261"/>
      <c r="V65" s="261" t="s">
        <v>115</v>
      </c>
      <c r="W65" s="261"/>
      <c r="X65" s="261"/>
      <c r="Y65" s="261"/>
      <c r="Z65" s="261"/>
      <c r="AA65" s="261" t="s">
        <v>116</v>
      </c>
      <c r="AB65" s="261"/>
      <c r="AC65" s="261"/>
      <c r="AD65" s="261"/>
      <c r="AE65" s="261"/>
      <c r="AF65" s="261" t="s">
        <v>52</v>
      </c>
      <c r="AG65" s="261"/>
      <c r="AH65" s="261"/>
      <c r="AI65" s="261"/>
      <c r="AJ65" s="261"/>
      <c r="AK65" s="187"/>
      <c r="AL65" s="187"/>
      <c r="AM65" s="187"/>
      <c r="AN65" s="187"/>
      <c r="AO65" s="188"/>
    </row>
    <row r="66" spans="2:41" s="189" customFormat="1" ht="14.25">
      <c r="B66" s="186"/>
      <c r="C66" s="262" t="str">
        <f>IF(C21="","",C21)</f>
        <v>Indeminização de Férias</v>
      </c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3" t="str">
        <f>S21</f>
        <v/>
      </c>
      <c r="T66" s="263"/>
      <c r="U66" s="263"/>
      <c r="V66" s="284" t="str">
        <f>V21</f>
        <v/>
      </c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187"/>
      <c r="AL66" s="187"/>
      <c r="AM66" s="187"/>
      <c r="AN66" s="187"/>
      <c r="AO66" s="188"/>
    </row>
    <row r="67" spans="2:41" s="189" customFormat="1" ht="14.25">
      <c r="B67" s="186"/>
      <c r="C67" s="262" t="str">
        <f t="shared" ref="C67:C72" si="0">IF(C22="","",C22)</f>
        <v>Subsidio de Férias</v>
      </c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3" t="str">
        <f>S22</f>
        <v/>
      </c>
      <c r="T67" s="263"/>
      <c r="U67" s="263"/>
      <c r="V67" s="284" t="str">
        <f t="shared" ref="V67:V78" si="1">V22</f>
        <v/>
      </c>
      <c r="W67" s="284"/>
      <c r="X67" s="284"/>
      <c r="Y67" s="284"/>
      <c r="Z67" s="284"/>
      <c r="AA67" s="284" t="str">
        <f>AA22</f>
        <v/>
      </c>
      <c r="AB67" s="284"/>
      <c r="AC67" s="284"/>
      <c r="AD67" s="284"/>
      <c r="AE67" s="284"/>
      <c r="AF67" s="284"/>
      <c r="AG67" s="284"/>
      <c r="AH67" s="284"/>
      <c r="AI67" s="284"/>
      <c r="AJ67" s="284"/>
      <c r="AK67" s="187"/>
      <c r="AL67" s="187"/>
      <c r="AM67" s="187"/>
      <c r="AN67" s="187"/>
      <c r="AO67" s="188"/>
    </row>
    <row r="68" spans="2:41" s="189" customFormat="1" ht="14.25">
      <c r="B68" s="186"/>
      <c r="C68" s="262" t="str">
        <f t="shared" si="0"/>
        <v>Proporcionais de Subsidio de férias</v>
      </c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3" t="str">
        <f t="shared" ref="S68:S73" si="2">S23</f>
        <v/>
      </c>
      <c r="T68" s="263"/>
      <c r="U68" s="263"/>
      <c r="V68" s="284" t="str">
        <f t="shared" si="1"/>
        <v/>
      </c>
      <c r="W68" s="284"/>
      <c r="X68" s="284"/>
      <c r="Y68" s="284"/>
      <c r="Z68" s="284"/>
      <c r="AA68" s="284" t="str">
        <f>AA23</f>
        <v/>
      </c>
      <c r="AB68" s="284"/>
      <c r="AC68" s="284"/>
      <c r="AD68" s="284"/>
      <c r="AE68" s="284"/>
      <c r="AF68" s="284"/>
      <c r="AG68" s="284"/>
      <c r="AH68" s="284"/>
      <c r="AI68" s="284"/>
      <c r="AJ68" s="284"/>
      <c r="AK68" s="187"/>
      <c r="AL68" s="187"/>
      <c r="AM68" s="187"/>
      <c r="AN68" s="187"/>
      <c r="AO68" s="188"/>
    </row>
    <row r="69" spans="2:41" s="189" customFormat="1" ht="14.25">
      <c r="B69" s="186"/>
      <c r="C69" s="262" t="str">
        <f t="shared" si="0"/>
        <v>Subsidio de Natal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3"/>
      <c r="T69" s="263"/>
      <c r="U69" s="263"/>
      <c r="V69" s="284" t="str">
        <f t="shared" si="1"/>
        <v/>
      </c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187"/>
      <c r="AL69" s="187"/>
      <c r="AM69" s="187"/>
      <c r="AN69" s="187"/>
      <c r="AO69" s="188"/>
    </row>
    <row r="70" spans="2:41" s="189" customFormat="1" ht="14.25">
      <c r="B70" s="186"/>
      <c r="C70" s="262" t="str">
        <f t="shared" si="0"/>
        <v>Proporcionais de Subsidio de Natal</v>
      </c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3" t="str">
        <f t="shared" si="2"/>
        <v/>
      </c>
      <c r="T70" s="263"/>
      <c r="U70" s="263"/>
      <c r="V70" s="284" t="str">
        <f t="shared" si="1"/>
        <v/>
      </c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187"/>
      <c r="AL70" s="187"/>
      <c r="AM70" s="187"/>
      <c r="AN70" s="187"/>
      <c r="AO70" s="188"/>
    </row>
    <row r="71" spans="2:41" s="189" customFormat="1" ht="14.25">
      <c r="B71" s="186"/>
      <c r="C71" s="262" t="str">
        <f t="shared" si="0"/>
        <v/>
      </c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3" t="str">
        <f t="shared" si="2"/>
        <v/>
      </c>
      <c r="T71" s="263"/>
      <c r="U71" s="263"/>
      <c r="V71" s="284" t="str">
        <f t="shared" si="1"/>
        <v/>
      </c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187"/>
      <c r="AL71" s="187"/>
      <c r="AM71" s="187"/>
      <c r="AN71" s="187"/>
      <c r="AO71" s="188"/>
    </row>
    <row r="72" spans="2:41" s="189" customFormat="1" ht="14.25">
      <c r="B72" s="186"/>
      <c r="C72" s="262" t="str">
        <f t="shared" si="0"/>
        <v/>
      </c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3" t="str">
        <f t="shared" si="2"/>
        <v/>
      </c>
      <c r="T72" s="263"/>
      <c r="U72" s="263"/>
      <c r="V72" s="284" t="str">
        <f t="shared" si="1"/>
        <v/>
      </c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187"/>
      <c r="AL72" s="187"/>
      <c r="AM72" s="187"/>
      <c r="AN72" s="187"/>
      <c r="AO72" s="188"/>
    </row>
    <row r="73" spans="2:41" s="189" customFormat="1" ht="14.25">
      <c r="B73" s="186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3" t="str">
        <f t="shared" si="2"/>
        <v/>
      </c>
      <c r="T73" s="263"/>
      <c r="U73" s="263"/>
      <c r="V73" s="284" t="str">
        <f t="shared" si="1"/>
        <v/>
      </c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187"/>
      <c r="AL73" s="187"/>
      <c r="AM73" s="187"/>
      <c r="AN73" s="187"/>
      <c r="AO73" s="188"/>
    </row>
    <row r="74" spans="2:41" s="189" customFormat="1" ht="14.25">
      <c r="B74" s="186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3"/>
      <c r="T74" s="263"/>
      <c r="U74" s="263"/>
      <c r="V74" s="284" t="str">
        <f t="shared" si="1"/>
        <v/>
      </c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187"/>
      <c r="AL74" s="187"/>
      <c r="AM74" s="187"/>
      <c r="AN74" s="187"/>
      <c r="AO74" s="188"/>
    </row>
    <row r="75" spans="2:41" s="189" customFormat="1" ht="14.25">
      <c r="B75" s="186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3"/>
      <c r="T75" s="263"/>
      <c r="U75" s="263"/>
      <c r="V75" s="284" t="str">
        <f t="shared" si="1"/>
        <v/>
      </c>
      <c r="W75" s="284"/>
      <c r="X75" s="284"/>
      <c r="Y75" s="284"/>
      <c r="Z75" s="284"/>
      <c r="AA75" s="284"/>
      <c r="AB75" s="284"/>
      <c r="AC75" s="284"/>
      <c r="AD75" s="284"/>
      <c r="AE75" s="284"/>
      <c r="AF75" s="285"/>
      <c r="AG75" s="279"/>
      <c r="AH75" s="279"/>
      <c r="AI75" s="279"/>
      <c r="AJ75" s="286"/>
      <c r="AK75" s="187"/>
      <c r="AL75" s="187"/>
      <c r="AM75" s="187"/>
      <c r="AN75" s="187"/>
      <c r="AO75" s="188"/>
    </row>
    <row r="76" spans="2:41" s="189" customFormat="1" ht="14.25">
      <c r="B76" s="186"/>
      <c r="C76" s="265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66"/>
      <c r="S76" s="190"/>
      <c r="T76" s="191"/>
      <c r="U76" s="192"/>
      <c r="V76" s="284" t="str">
        <f t="shared" si="1"/>
        <v/>
      </c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187"/>
      <c r="AL76" s="187"/>
      <c r="AM76" s="187"/>
      <c r="AN76" s="187"/>
      <c r="AO76" s="188"/>
    </row>
    <row r="77" spans="2:41" s="189" customFormat="1" ht="14.25">
      <c r="B77" s="186"/>
      <c r="C77" s="193" t="s">
        <v>117</v>
      </c>
      <c r="D77" s="187"/>
      <c r="E77" s="187"/>
      <c r="F77" s="187"/>
      <c r="G77" s="208" t="s">
        <v>118</v>
      </c>
      <c r="H77" s="267" t="e">
        <f>H32</f>
        <v>#DIV/0!</v>
      </c>
      <c r="I77" s="267"/>
      <c r="J77" s="267"/>
      <c r="K77" s="187"/>
      <c r="L77" s="187"/>
      <c r="M77" s="187"/>
      <c r="N77" s="187"/>
      <c r="O77" s="187"/>
      <c r="P77" s="187"/>
      <c r="Q77" s="187"/>
      <c r="R77" s="194"/>
      <c r="S77" s="190"/>
      <c r="T77" s="191"/>
      <c r="U77" s="192"/>
      <c r="V77" s="284">
        <f t="shared" si="1"/>
        <v>0</v>
      </c>
      <c r="W77" s="284"/>
      <c r="X77" s="284"/>
      <c r="Y77" s="284"/>
      <c r="Z77" s="284"/>
      <c r="AA77" s="284"/>
      <c r="AB77" s="284"/>
      <c r="AC77" s="284"/>
      <c r="AD77" s="284"/>
      <c r="AE77" s="284"/>
      <c r="AF77" s="284">
        <f>AF32</f>
        <v>0</v>
      </c>
      <c r="AG77" s="284"/>
      <c r="AH77" s="284"/>
      <c r="AI77" s="284"/>
      <c r="AJ77" s="284"/>
      <c r="AK77" s="187"/>
      <c r="AL77" s="187"/>
      <c r="AM77" s="187"/>
      <c r="AN77" s="187"/>
      <c r="AO77" s="188"/>
    </row>
    <row r="78" spans="2:41" s="189" customFormat="1" ht="14.25">
      <c r="B78" s="186"/>
      <c r="C78" s="193" t="s">
        <v>119</v>
      </c>
      <c r="D78" s="187"/>
      <c r="E78" s="187"/>
      <c r="F78" s="187"/>
      <c r="G78" s="208" t="s">
        <v>118</v>
      </c>
      <c r="H78" s="267">
        <f>H33</f>
        <v>0</v>
      </c>
      <c r="I78" s="267"/>
      <c r="J78" s="267"/>
      <c r="K78" s="271"/>
      <c r="L78" s="271"/>
      <c r="M78" s="271"/>
      <c r="N78" s="187"/>
      <c r="O78" s="187"/>
      <c r="P78" s="187"/>
      <c r="Q78" s="187"/>
      <c r="R78" s="194"/>
      <c r="S78" s="190"/>
      <c r="T78" s="191"/>
      <c r="U78" s="192"/>
      <c r="V78" s="285">
        <f t="shared" si="1"/>
        <v>0</v>
      </c>
      <c r="W78" s="279"/>
      <c r="X78" s="279"/>
      <c r="Y78" s="279"/>
      <c r="Z78" s="286"/>
      <c r="AA78" s="285"/>
      <c r="AB78" s="279"/>
      <c r="AC78" s="279"/>
      <c r="AD78" s="279"/>
      <c r="AE78" s="286"/>
      <c r="AF78" s="284">
        <f>AF33</f>
        <v>0</v>
      </c>
      <c r="AG78" s="284"/>
      <c r="AH78" s="284"/>
      <c r="AI78" s="284"/>
      <c r="AJ78" s="284"/>
      <c r="AK78" s="187"/>
      <c r="AL78" s="187"/>
      <c r="AM78" s="187"/>
      <c r="AN78" s="187"/>
      <c r="AO78" s="188"/>
    </row>
    <row r="79" spans="2:41" s="189" customFormat="1" ht="14.25">
      <c r="B79" s="186"/>
      <c r="C79" s="272" t="s">
        <v>120</v>
      </c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4"/>
      <c r="S79" s="275"/>
      <c r="T79" s="275"/>
      <c r="U79" s="275"/>
      <c r="V79" s="277">
        <f>SUM(V66:Z78)</f>
        <v>0</v>
      </c>
      <c r="W79" s="277"/>
      <c r="X79" s="277"/>
      <c r="Y79" s="277"/>
      <c r="Z79" s="277"/>
      <c r="AA79" s="277">
        <f>SUM(AA66:AE78)</f>
        <v>0</v>
      </c>
      <c r="AB79" s="277"/>
      <c r="AC79" s="277"/>
      <c r="AD79" s="277"/>
      <c r="AE79" s="277"/>
      <c r="AF79" s="277">
        <f>SUM(AF66:AJ78)</f>
        <v>0</v>
      </c>
      <c r="AG79" s="277"/>
      <c r="AH79" s="277"/>
      <c r="AI79" s="277"/>
      <c r="AJ79" s="277"/>
      <c r="AK79" s="187"/>
      <c r="AL79" s="187"/>
      <c r="AM79" s="187"/>
      <c r="AN79" s="187"/>
      <c r="AO79" s="188"/>
    </row>
    <row r="80" spans="2:41" s="189" customFormat="1" ht="15" thickBot="1">
      <c r="B80" s="186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6"/>
      <c r="Q80" s="196"/>
      <c r="R80" s="196"/>
      <c r="S80" s="256"/>
      <c r="T80" s="256"/>
      <c r="U80" s="256"/>
      <c r="V80" s="279"/>
      <c r="W80" s="279"/>
      <c r="X80" s="279"/>
      <c r="Y80" s="279"/>
      <c r="Z80" s="279"/>
      <c r="AA80" s="279"/>
      <c r="AB80" s="279"/>
      <c r="AC80" s="279"/>
      <c r="AD80" s="279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8"/>
    </row>
    <row r="81" spans="2:41" s="189" customFormat="1" ht="15" thickBot="1">
      <c r="B81" s="186"/>
      <c r="C81" s="187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6"/>
      <c r="Q81" s="196"/>
      <c r="R81" s="196"/>
      <c r="S81" s="191"/>
      <c r="T81" s="191"/>
      <c r="U81" s="191"/>
      <c r="V81" s="197"/>
      <c r="W81" s="197"/>
      <c r="X81" s="197"/>
      <c r="Y81" s="187" t="s">
        <v>121</v>
      </c>
      <c r="Z81" s="187"/>
      <c r="AA81" s="187"/>
      <c r="AB81" s="187"/>
      <c r="AC81" s="187"/>
      <c r="AD81" s="187"/>
      <c r="AE81" s="187"/>
      <c r="AF81" s="287">
        <f>V79+AA79-AF79</f>
        <v>0</v>
      </c>
      <c r="AG81" s="281"/>
      <c r="AH81" s="281"/>
      <c r="AI81" s="281"/>
      <c r="AJ81" s="282"/>
      <c r="AK81" s="187"/>
      <c r="AL81" s="187"/>
      <c r="AM81" s="187"/>
      <c r="AN81" s="187"/>
      <c r="AO81" s="188"/>
    </row>
    <row r="82" spans="2:41" s="189" customFormat="1" ht="14.25">
      <c r="B82" s="186"/>
      <c r="C82" s="187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6"/>
      <c r="Q82" s="196"/>
      <c r="R82" s="196"/>
      <c r="S82" s="191"/>
      <c r="T82" s="191"/>
      <c r="U82" s="191"/>
      <c r="V82" s="197"/>
      <c r="W82" s="197"/>
      <c r="X82" s="197"/>
      <c r="Y82" s="187"/>
      <c r="Z82" s="187"/>
      <c r="AA82" s="187"/>
      <c r="AB82" s="187"/>
      <c r="AC82" s="187"/>
      <c r="AD82" s="187"/>
      <c r="AE82" s="187"/>
      <c r="AF82" s="198"/>
      <c r="AG82" s="198"/>
      <c r="AH82" s="198"/>
      <c r="AI82" s="198"/>
      <c r="AJ82" s="198"/>
      <c r="AK82" s="187"/>
      <c r="AL82" s="187"/>
      <c r="AM82" s="187"/>
      <c r="AN82" s="187"/>
      <c r="AO82" s="188"/>
    </row>
    <row r="83" spans="2:41" s="189" customFormat="1" ht="14.25">
      <c r="B83" s="186"/>
      <c r="C83" s="187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6"/>
      <c r="Q83" s="196"/>
      <c r="R83" s="196"/>
      <c r="S83" s="191"/>
      <c r="T83" s="191"/>
      <c r="U83" s="191"/>
      <c r="V83" s="197"/>
      <c r="W83" s="197"/>
      <c r="X83" s="197"/>
      <c r="Y83" s="187"/>
      <c r="Z83" s="187"/>
      <c r="AA83" s="187"/>
      <c r="AB83" s="187"/>
      <c r="AC83" s="187"/>
      <c r="AD83" s="187"/>
      <c r="AE83" s="187"/>
      <c r="AF83" s="198"/>
      <c r="AG83" s="198"/>
      <c r="AH83" s="198"/>
      <c r="AI83" s="198"/>
      <c r="AJ83" s="198"/>
      <c r="AK83" s="187"/>
      <c r="AL83" s="187"/>
      <c r="AM83" s="187"/>
      <c r="AN83" s="187"/>
      <c r="AO83" s="188"/>
    </row>
    <row r="84" spans="2:41" s="189" customFormat="1" ht="14.25" customHeight="1">
      <c r="B84" s="186"/>
      <c r="C84" s="187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6"/>
      <c r="Q84" s="196"/>
      <c r="R84" s="196"/>
      <c r="S84" s="191"/>
      <c r="T84" s="191"/>
      <c r="U84" s="191"/>
      <c r="V84" s="261" t="s">
        <v>122</v>
      </c>
      <c r="W84" s="261"/>
      <c r="X84" s="261"/>
      <c r="Y84" s="261"/>
      <c r="Z84" s="261"/>
      <c r="AA84" s="261" t="s">
        <v>123</v>
      </c>
      <c r="AB84" s="261"/>
      <c r="AC84" s="261"/>
      <c r="AD84" s="261"/>
      <c r="AE84" s="261"/>
      <c r="AF84" s="261" t="s">
        <v>124</v>
      </c>
      <c r="AG84" s="261"/>
      <c r="AH84" s="261"/>
      <c r="AI84" s="261"/>
      <c r="AJ84" s="261"/>
      <c r="AK84" s="187"/>
      <c r="AL84" s="187"/>
      <c r="AM84" s="187"/>
      <c r="AN84" s="187"/>
      <c r="AO84" s="188"/>
    </row>
    <row r="85" spans="2:41" s="189" customFormat="1" ht="14.25">
      <c r="B85" s="186"/>
      <c r="C85" s="187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6"/>
      <c r="Q85" s="196"/>
      <c r="R85" s="196"/>
      <c r="S85" s="191"/>
      <c r="T85" s="191"/>
      <c r="U85" s="191"/>
      <c r="V85" s="277">
        <f>V40</f>
        <v>0</v>
      </c>
      <c r="W85" s="277"/>
      <c r="X85" s="277"/>
      <c r="Y85" s="277"/>
      <c r="Z85" s="277"/>
      <c r="AA85" s="277">
        <f>AA40</f>
        <v>0</v>
      </c>
      <c r="AB85" s="277"/>
      <c r="AC85" s="277"/>
      <c r="AD85" s="277"/>
      <c r="AE85" s="277"/>
      <c r="AF85" s="277">
        <f>V85-AA85</f>
        <v>0</v>
      </c>
      <c r="AG85" s="277"/>
      <c r="AH85" s="277"/>
      <c r="AI85" s="277"/>
      <c r="AJ85" s="277"/>
      <c r="AK85" s="187"/>
      <c r="AL85" s="187"/>
      <c r="AM85" s="187"/>
      <c r="AN85" s="187"/>
      <c r="AO85" s="188"/>
    </row>
    <row r="86" spans="2:41" s="189" customFormat="1" ht="14.25">
      <c r="B86" s="186"/>
      <c r="C86" s="187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6"/>
      <c r="Q86" s="196"/>
      <c r="R86" s="196"/>
      <c r="S86" s="191"/>
      <c r="T86" s="191"/>
      <c r="U86" s="191"/>
      <c r="V86" s="197"/>
      <c r="W86" s="197"/>
      <c r="X86" s="197"/>
      <c r="Y86" s="187"/>
      <c r="Z86" s="187"/>
      <c r="AA86" s="187"/>
      <c r="AB86" s="187"/>
      <c r="AC86" s="187"/>
      <c r="AD86" s="187"/>
      <c r="AE86" s="187"/>
      <c r="AF86" s="198"/>
      <c r="AG86" s="198"/>
      <c r="AH86" s="198"/>
      <c r="AI86" s="198"/>
      <c r="AJ86" s="198"/>
      <c r="AK86" s="187"/>
      <c r="AL86" s="187"/>
      <c r="AM86" s="187"/>
      <c r="AN86" s="187"/>
      <c r="AO86" s="188"/>
    </row>
    <row r="87" spans="2:41" s="189" customFormat="1" ht="14.25">
      <c r="B87" s="186"/>
      <c r="C87" s="199" t="s">
        <v>125</v>
      </c>
      <c r="D87" s="195"/>
      <c r="E87" s="195"/>
      <c r="F87" s="195"/>
      <c r="G87" s="195"/>
      <c r="H87" s="195"/>
      <c r="I87" s="195"/>
      <c r="J87" s="195">
        <f>J42</f>
        <v>0</v>
      </c>
      <c r="K87" s="195"/>
      <c r="L87" s="195"/>
      <c r="M87" s="195"/>
      <c r="N87" s="195"/>
      <c r="O87" s="195"/>
      <c r="P87" s="196"/>
      <c r="Q87" s="196"/>
      <c r="R87" s="196"/>
      <c r="S87" s="191"/>
      <c r="T87" s="191"/>
      <c r="U87" s="191"/>
      <c r="V87" s="200" t="s">
        <v>126</v>
      </c>
      <c r="W87" s="197"/>
      <c r="X87" s="197"/>
      <c r="Y87" s="187"/>
      <c r="Z87" s="187"/>
      <c r="AA87" s="187"/>
      <c r="AB87" s="187"/>
      <c r="AC87" s="187"/>
      <c r="AD87" s="187"/>
      <c r="AE87" s="187"/>
      <c r="AF87" s="198"/>
      <c r="AG87" s="198"/>
      <c r="AH87" s="198"/>
      <c r="AI87" s="198"/>
      <c r="AJ87" s="198"/>
      <c r="AK87" s="187"/>
      <c r="AL87" s="187"/>
      <c r="AM87" s="187"/>
      <c r="AN87" s="187"/>
      <c r="AO87" s="188"/>
    </row>
    <row r="88" spans="2:41" s="189" customFormat="1" ht="14.25">
      <c r="B88" s="186"/>
      <c r="C88" s="199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6"/>
      <c r="Q88" s="196"/>
      <c r="R88" s="196"/>
      <c r="S88" s="191"/>
      <c r="T88" s="191"/>
      <c r="U88" s="191"/>
      <c r="V88" s="197"/>
      <c r="W88" s="197"/>
      <c r="X88" s="197"/>
      <c r="Y88" s="187"/>
      <c r="Z88" s="187"/>
      <c r="AA88" s="187"/>
      <c r="AB88" s="187"/>
      <c r="AC88" s="187"/>
      <c r="AD88" s="187"/>
      <c r="AE88" s="187"/>
      <c r="AF88" s="198"/>
      <c r="AG88" s="198"/>
      <c r="AH88" s="198"/>
      <c r="AI88" s="198"/>
      <c r="AJ88" s="198"/>
      <c r="AK88" s="187"/>
      <c r="AL88" s="187"/>
      <c r="AM88" s="187"/>
      <c r="AN88" s="187"/>
      <c r="AO88" s="188"/>
    </row>
    <row r="89" spans="2:41" s="189" customFormat="1" ht="14.25">
      <c r="B89" s="186"/>
      <c r="C89" s="199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6"/>
      <c r="Q89" s="196"/>
      <c r="R89" s="196"/>
      <c r="S89" s="191"/>
      <c r="T89" s="191"/>
      <c r="U89" s="191"/>
      <c r="V89" s="201"/>
      <c r="W89" s="201"/>
      <c r="X89" s="201"/>
      <c r="Y89" s="202"/>
      <c r="Z89" s="202"/>
      <c r="AA89" s="202"/>
      <c r="AB89" s="202"/>
      <c r="AC89" s="202"/>
      <c r="AD89" s="202"/>
      <c r="AE89" s="202"/>
      <c r="AF89" s="203"/>
      <c r="AG89" s="203"/>
      <c r="AH89" s="203"/>
      <c r="AI89" s="203"/>
      <c r="AJ89" s="203"/>
      <c r="AK89" s="187"/>
      <c r="AL89" s="187"/>
      <c r="AM89" s="187"/>
      <c r="AN89" s="187"/>
      <c r="AO89" s="188"/>
    </row>
    <row r="90" spans="2:41" s="189" customFormat="1" ht="14.25">
      <c r="B90" s="186"/>
      <c r="C90" s="187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6"/>
      <c r="Q90" s="196"/>
      <c r="R90" s="196"/>
      <c r="S90" s="191"/>
      <c r="T90" s="191"/>
      <c r="U90" s="191"/>
      <c r="V90" s="197"/>
      <c r="W90" s="197"/>
      <c r="X90" s="197"/>
      <c r="Y90" s="187"/>
      <c r="Z90" s="187"/>
      <c r="AA90" s="187"/>
      <c r="AB90" s="187"/>
      <c r="AC90" s="187"/>
      <c r="AD90" s="187"/>
      <c r="AE90" s="187"/>
      <c r="AF90" s="198"/>
      <c r="AG90" s="198"/>
      <c r="AH90" s="198"/>
      <c r="AI90" s="198"/>
      <c r="AJ90" s="198"/>
      <c r="AK90" s="187"/>
      <c r="AL90" s="187"/>
      <c r="AM90" s="187"/>
      <c r="AN90" s="187"/>
      <c r="AO90" s="188"/>
    </row>
    <row r="91" spans="2:41" ht="13.5" thickBot="1">
      <c r="B91" s="204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6"/>
    </row>
    <row r="92" spans="2:41" ht="13.5" thickTop="1"/>
  </sheetData>
  <sheetProtection password="9596" sheet="1" scenarios="1" insertHyperlinks="0"/>
  <mergeCells count="231">
    <mergeCell ref="V85:Z85"/>
    <mergeCell ref="AA85:AE85"/>
    <mergeCell ref="AF85:AJ85"/>
    <mergeCell ref="E6:M6"/>
    <mergeCell ref="S80:U80"/>
    <mergeCell ref="V80:Z80"/>
    <mergeCell ref="AA80:AD80"/>
    <mergeCell ref="AF81:AJ81"/>
    <mergeCell ref="V84:Z84"/>
    <mergeCell ref="AA84:AE84"/>
    <mergeCell ref="AF84:AJ84"/>
    <mergeCell ref="H78:J78"/>
    <mergeCell ref="K78:M78"/>
    <mergeCell ref="V78:Z78"/>
    <mergeCell ref="AA78:AE78"/>
    <mergeCell ref="AF78:AJ78"/>
    <mergeCell ref="C79:R79"/>
    <mergeCell ref="S79:U79"/>
    <mergeCell ref="V79:Z79"/>
    <mergeCell ref="AA79:AE79"/>
    <mergeCell ref="AF79:AJ79"/>
    <mergeCell ref="C76:R76"/>
    <mergeCell ref="V76:Z76"/>
    <mergeCell ref="AA76:AE76"/>
    <mergeCell ref="AF76:AJ76"/>
    <mergeCell ref="H77:J77"/>
    <mergeCell ref="V77:Z77"/>
    <mergeCell ref="AA77:AE77"/>
    <mergeCell ref="AF77:AJ77"/>
    <mergeCell ref="C74:R74"/>
    <mergeCell ref="S74:U74"/>
    <mergeCell ref="V74:Z74"/>
    <mergeCell ref="AA74:AE74"/>
    <mergeCell ref="AF74:AJ74"/>
    <mergeCell ref="C75:R75"/>
    <mergeCell ref="S75:U75"/>
    <mergeCell ref="V75:Z75"/>
    <mergeCell ref="AA75:AE75"/>
    <mergeCell ref="AF75:AJ75"/>
    <mergeCell ref="C72:R72"/>
    <mergeCell ref="S72:U72"/>
    <mergeCell ref="V72:Z72"/>
    <mergeCell ref="AA72:AE72"/>
    <mergeCell ref="AF72:AJ72"/>
    <mergeCell ref="C73:R73"/>
    <mergeCell ref="S73:U73"/>
    <mergeCell ref="V73:Z73"/>
    <mergeCell ref="AA73:AE73"/>
    <mergeCell ref="AF73:AJ73"/>
    <mergeCell ref="C70:R70"/>
    <mergeCell ref="S70:U70"/>
    <mergeCell ref="V70:Z70"/>
    <mergeCell ref="AA70:AE70"/>
    <mergeCell ref="AF70:AJ70"/>
    <mergeCell ref="C71:R71"/>
    <mergeCell ref="S71:U71"/>
    <mergeCell ref="V71:Z71"/>
    <mergeCell ref="AA71:AE71"/>
    <mergeCell ref="AF71:AJ71"/>
    <mergeCell ref="C68:R68"/>
    <mergeCell ref="S68:U68"/>
    <mergeCell ref="V68:Z68"/>
    <mergeCell ref="AA68:AE68"/>
    <mergeCell ref="AF68:AJ68"/>
    <mergeCell ref="C69:R69"/>
    <mergeCell ref="S69:U69"/>
    <mergeCell ref="V69:Z69"/>
    <mergeCell ref="AA69:AE69"/>
    <mergeCell ref="AF69:AJ69"/>
    <mergeCell ref="C66:R66"/>
    <mergeCell ref="S66:U66"/>
    <mergeCell ref="V66:Z66"/>
    <mergeCell ref="AA66:AE66"/>
    <mergeCell ref="AF66:AJ66"/>
    <mergeCell ref="C67:R67"/>
    <mergeCell ref="S67:U67"/>
    <mergeCell ref="V67:Z67"/>
    <mergeCell ref="AA67:AE67"/>
    <mergeCell ref="AF67:AJ67"/>
    <mergeCell ref="AC61:AD61"/>
    <mergeCell ref="AL61:AM61"/>
    <mergeCell ref="AC62:AD62"/>
    <mergeCell ref="AL62:AM62"/>
    <mergeCell ref="C65:R65"/>
    <mergeCell ref="S65:U65"/>
    <mergeCell ref="V65:Z65"/>
    <mergeCell ref="AA65:AE65"/>
    <mergeCell ref="AF65:AJ65"/>
    <mergeCell ref="AC58:AD58"/>
    <mergeCell ref="AL58:AM58"/>
    <mergeCell ref="AB59:AC59"/>
    <mergeCell ref="AL59:AM59"/>
    <mergeCell ref="AB60:AD60"/>
    <mergeCell ref="AK60:AM60"/>
    <mergeCell ref="G56:M56"/>
    <mergeCell ref="AB56:AD56"/>
    <mergeCell ref="AK56:AM56"/>
    <mergeCell ref="G57:Q57"/>
    <mergeCell ref="AA57:AB57"/>
    <mergeCell ref="AK57:AM57"/>
    <mergeCell ref="C53:E53"/>
    <mergeCell ref="F53:J53"/>
    <mergeCell ref="O53:S53"/>
    <mergeCell ref="X53:Z53"/>
    <mergeCell ref="AA53:AM53"/>
    <mergeCell ref="G55:O55"/>
    <mergeCell ref="Z55:AC55"/>
    <mergeCell ref="AJ55:AM55"/>
    <mergeCell ref="F51:M51"/>
    <mergeCell ref="O51:S51"/>
    <mergeCell ref="X51:AM51"/>
    <mergeCell ref="F52:J52"/>
    <mergeCell ref="O52:S52"/>
    <mergeCell ref="X52:AM52"/>
    <mergeCell ref="V40:Z40"/>
    <mergeCell ref="AA40:AE40"/>
    <mergeCell ref="AF40:AJ40"/>
    <mergeCell ref="AL40:AN43"/>
    <mergeCell ref="O50:S50"/>
    <mergeCell ref="AJ50:AN50"/>
    <mergeCell ref="S35:U35"/>
    <mergeCell ref="V35:Z35"/>
    <mergeCell ref="AA35:AD35"/>
    <mergeCell ref="AF36:AJ36"/>
    <mergeCell ref="V39:Z39"/>
    <mergeCell ref="AA39:AE39"/>
    <mergeCell ref="AF39:AJ39"/>
    <mergeCell ref="H33:J33"/>
    <mergeCell ref="K33:M33"/>
    <mergeCell ref="V33:Z33"/>
    <mergeCell ref="AA33:AE33"/>
    <mergeCell ref="AF33:AJ33"/>
    <mergeCell ref="C34:R34"/>
    <mergeCell ref="S34:U34"/>
    <mergeCell ref="V34:Z34"/>
    <mergeCell ref="AA34:AE34"/>
    <mergeCell ref="AF34:AJ34"/>
    <mergeCell ref="C31:R31"/>
    <mergeCell ref="V31:Z31"/>
    <mergeCell ref="AA31:AE31"/>
    <mergeCell ref="AF31:AJ31"/>
    <mergeCell ref="H32:J32"/>
    <mergeCell ref="V32:Z32"/>
    <mergeCell ref="AA32:AE32"/>
    <mergeCell ref="AF32:AJ32"/>
    <mergeCell ref="C29:R29"/>
    <mergeCell ref="S29:U29"/>
    <mergeCell ref="V29:Z29"/>
    <mergeCell ref="AA29:AE29"/>
    <mergeCell ref="AF29:AJ29"/>
    <mergeCell ref="C30:R30"/>
    <mergeCell ref="S30:U30"/>
    <mergeCell ref="V30:Z30"/>
    <mergeCell ref="AA30:AE30"/>
    <mergeCell ref="AF30:AJ30"/>
    <mergeCell ref="C27:R27"/>
    <mergeCell ref="S27:U27"/>
    <mergeCell ref="V27:Z27"/>
    <mergeCell ref="AA27:AE27"/>
    <mergeCell ref="AF27:AJ27"/>
    <mergeCell ref="C28:R28"/>
    <mergeCell ref="S28:U28"/>
    <mergeCell ref="V28:Z28"/>
    <mergeCell ref="AA28:AE28"/>
    <mergeCell ref="AF28:AJ28"/>
    <mergeCell ref="C25:R25"/>
    <mergeCell ref="S25:U25"/>
    <mergeCell ref="V25:Z25"/>
    <mergeCell ref="AA25:AE25"/>
    <mergeCell ref="AF25:AJ25"/>
    <mergeCell ref="C26:R26"/>
    <mergeCell ref="S26:U26"/>
    <mergeCell ref="V26:Z26"/>
    <mergeCell ref="AA26:AE26"/>
    <mergeCell ref="AF26:AJ26"/>
    <mergeCell ref="C23:R23"/>
    <mergeCell ref="S23:U23"/>
    <mergeCell ref="V23:Z23"/>
    <mergeCell ref="AA23:AE23"/>
    <mergeCell ref="AF23:AJ23"/>
    <mergeCell ref="C24:R24"/>
    <mergeCell ref="S24:U24"/>
    <mergeCell ref="V24:Z24"/>
    <mergeCell ref="AA24:AE24"/>
    <mergeCell ref="AF24:AJ24"/>
    <mergeCell ref="C21:R21"/>
    <mergeCell ref="S21:U21"/>
    <mergeCell ref="V21:Z21"/>
    <mergeCell ref="AA21:AE21"/>
    <mergeCell ref="AF21:AJ21"/>
    <mergeCell ref="C22:R22"/>
    <mergeCell ref="S22:U22"/>
    <mergeCell ref="V22:Z22"/>
    <mergeCell ref="AA22:AE22"/>
    <mergeCell ref="AF22:AJ22"/>
    <mergeCell ref="AC16:AD16"/>
    <mergeCell ref="AL16:AM16"/>
    <mergeCell ref="AC17:AD17"/>
    <mergeCell ref="AL17:AM17"/>
    <mergeCell ref="C20:R20"/>
    <mergeCell ref="S20:U20"/>
    <mergeCell ref="V20:Z20"/>
    <mergeCell ref="AA20:AE20"/>
    <mergeCell ref="AF20:AJ20"/>
    <mergeCell ref="AC13:AD13"/>
    <mergeCell ref="AL13:AM13"/>
    <mergeCell ref="AB14:AC14"/>
    <mergeCell ref="AL14:AM14"/>
    <mergeCell ref="AB15:AD15"/>
    <mergeCell ref="AK15:AM15"/>
    <mergeCell ref="G11:M11"/>
    <mergeCell ref="AC11:AE11"/>
    <mergeCell ref="AK11:AM11"/>
    <mergeCell ref="G12:Q12"/>
    <mergeCell ref="AD12:AE12"/>
    <mergeCell ref="AK12:AM12"/>
    <mergeCell ref="C8:E8"/>
    <mergeCell ref="F8:J8"/>
    <mergeCell ref="O8:S8"/>
    <mergeCell ref="X8:Z8"/>
    <mergeCell ref="AA8:AM8"/>
    <mergeCell ref="G10:O10"/>
    <mergeCell ref="Z10:AC10"/>
    <mergeCell ref="AJ10:AM10"/>
    <mergeCell ref="O5:S5"/>
    <mergeCell ref="AJ5:AN5"/>
    <mergeCell ref="O6:S6"/>
    <mergeCell ref="X6:AM6"/>
    <mergeCell ref="F7:J7"/>
    <mergeCell ref="O7:S7"/>
    <mergeCell ref="X7:A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5"/>
  <sheetViews>
    <sheetView showGridLines="0" workbookViewId="0">
      <selection activeCell="D11" sqref="D11"/>
    </sheetView>
  </sheetViews>
  <sheetFormatPr defaultRowHeight="12.75"/>
  <cols>
    <col min="1" max="1" width="13.28515625" style="42" customWidth="1"/>
    <col min="2" max="2" width="11.5703125" style="42" customWidth="1"/>
    <col min="3" max="3" width="12.42578125" style="42" customWidth="1"/>
    <col min="4" max="4" width="11.5703125" style="42" customWidth="1"/>
    <col min="5" max="5" width="8.42578125" style="42" customWidth="1"/>
    <col min="6" max="6" width="9.42578125" style="42" customWidth="1"/>
    <col min="7" max="7" width="9.7109375" style="42" customWidth="1"/>
    <col min="8" max="16384" width="9.140625" style="42"/>
  </cols>
  <sheetData>
    <row r="1" spans="1:13" ht="23.25" customHeight="1"/>
    <row r="2" spans="1:13">
      <c r="A2" s="299" t="s">
        <v>30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3">
      <c r="M3" s="43"/>
    </row>
    <row r="4" spans="1:13">
      <c r="M4" s="43"/>
    </row>
    <row r="5" spans="1:13">
      <c r="A5" s="44"/>
      <c r="B5" s="45"/>
      <c r="C5" s="291" t="s">
        <v>31</v>
      </c>
      <c r="D5" s="291"/>
      <c r="E5" s="291"/>
      <c r="F5" s="291"/>
      <c r="G5" s="291"/>
      <c r="H5" s="291"/>
      <c r="I5" s="291"/>
      <c r="J5" s="291"/>
      <c r="M5" s="43"/>
    </row>
    <row r="6" spans="1:13">
      <c r="A6" s="44"/>
      <c r="B6" s="46"/>
      <c r="C6" s="291" t="s">
        <v>32</v>
      </c>
      <c r="D6" s="291"/>
      <c r="E6" s="291"/>
      <c r="F6" s="291"/>
      <c r="G6" s="291"/>
      <c r="H6" s="291"/>
      <c r="I6" s="291"/>
      <c r="J6" s="291"/>
      <c r="M6" s="43"/>
    </row>
    <row r="7" spans="1:13" ht="15.75">
      <c r="A7" s="44"/>
      <c r="B7" s="46"/>
      <c r="C7" s="44"/>
      <c r="D7" s="46"/>
      <c r="E7" s="45"/>
      <c r="F7" s="45"/>
      <c r="G7" s="45"/>
      <c r="H7" s="45"/>
      <c r="I7" s="45"/>
      <c r="J7" s="47"/>
      <c r="M7" s="43"/>
    </row>
    <row r="8" spans="1:13">
      <c r="B8" s="48"/>
      <c r="D8" s="48"/>
      <c r="M8" s="43"/>
    </row>
    <row r="9" spans="1:13" ht="19.5" customHeight="1">
      <c r="A9" s="292" t="s">
        <v>33</v>
      </c>
      <c r="B9" s="293"/>
      <c r="C9" s="293"/>
      <c r="D9" s="294"/>
      <c r="E9" s="49" t="s">
        <v>34</v>
      </c>
      <c r="F9" s="50"/>
      <c r="G9" s="50"/>
      <c r="H9" s="50"/>
      <c r="I9" s="50"/>
      <c r="J9" s="51"/>
    </row>
    <row r="10" spans="1:13" ht="15.75" customHeight="1">
      <c r="A10" s="295"/>
      <c r="B10" s="296"/>
      <c r="C10" s="296"/>
      <c r="D10" s="297"/>
      <c r="E10" s="52">
        <v>0</v>
      </c>
      <c r="F10" s="53">
        <v>1</v>
      </c>
      <c r="G10" s="52">
        <v>2</v>
      </c>
      <c r="H10" s="53">
        <v>3</v>
      </c>
      <c r="I10" s="52">
        <v>4</v>
      </c>
      <c r="J10" s="54" t="s">
        <v>35</v>
      </c>
    </row>
    <row r="11" spans="1:13" ht="13.5">
      <c r="A11" s="55" t="s">
        <v>28</v>
      </c>
      <c r="B11" s="56">
        <v>0</v>
      </c>
      <c r="C11" s="55" t="s">
        <v>36</v>
      </c>
      <c r="D11" s="57">
        <v>556</v>
      </c>
      <c r="E11" s="58">
        <v>0</v>
      </c>
      <c r="F11" s="59">
        <v>0</v>
      </c>
      <c r="G11" s="58">
        <v>0</v>
      </c>
      <c r="H11" s="59">
        <v>0</v>
      </c>
      <c r="I11" s="58">
        <v>0</v>
      </c>
      <c r="J11" s="58">
        <v>0</v>
      </c>
      <c r="K11" s="60"/>
    </row>
    <row r="12" spans="1:13" ht="13.5">
      <c r="A12" s="55" t="s">
        <v>28</v>
      </c>
      <c r="B12" s="56">
        <f>D11+0.01</f>
        <v>556.01</v>
      </c>
      <c r="C12" s="55" t="s">
        <v>36</v>
      </c>
      <c r="D12" s="57">
        <v>587</v>
      </c>
      <c r="E12" s="58">
        <v>0.01</v>
      </c>
      <c r="F12" s="59">
        <v>0</v>
      </c>
      <c r="G12" s="58">
        <v>0</v>
      </c>
      <c r="H12" s="59">
        <v>0</v>
      </c>
      <c r="I12" s="58">
        <v>0</v>
      </c>
      <c r="J12" s="58">
        <v>0</v>
      </c>
      <c r="K12" s="60"/>
    </row>
    <row r="13" spans="1:13" ht="13.5">
      <c r="A13" s="55" t="s">
        <v>28</v>
      </c>
      <c r="B13" s="56">
        <f t="shared" ref="B13:B43" si="0">D12+0.01</f>
        <v>587.01</v>
      </c>
      <c r="C13" s="55" t="s">
        <v>36</v>
      </c>
      <c r="D13" s="57">
        <v>628</v>
      </c>
      <c r="E13" s="58">
        <v>0.02</v>
      </c>
      <c r="F13" s="59">
        <v>0</v>
      </c>
      <c r="G13" s="58">
        <v>0</v>
      </c>
      <c r="H13" s="59">
        <v>0</v>
      </c>
      <c r="I13" s="58">
        <v>0</v>
      </c>
      <c r="J13" s="58">
        <v>0</v>
      </c>
      <c r="K13" s="60"/>
    </row>
    <row r="14" spans="1:13" ht="13.5">
      <c r="A14" s="55" t="s">
        <v>28</v>
      </c>
      <c r="B14" s="56">
        <f t="shared" si="0"/>
        <v>628.01</v>
      </c>
      <c r="C14" s="55" t="s">
        <v>36</v>
      </c>
      <c r="D14" s="57">
        <v>670</v>
      </c>
      <c r="E14" s="58">
        <v>0.03</v>
      </c>
      <c r="F14" s="59">
        <v>0.01</v>
      </c>
      <c r="G14" s="58">
        <v>0</v>
      </c>
      <c r="H14" s="59">
        <v>0</v>
      </c>
      <c r="I14" s="58">
        <v>0</v>
      </c>
      <c r="J14" s="58">
        <v>0</v>
      </c>
      <c r="K14" s="60"/>
    </row>
    <row r="15" spans="1:13" ht="13.5">
      <c r="A15" s="55" t="s">
        <v>28</v>
      </c>
      <c r="B15" s="56">
        <f t="shared" si="0"/>
        <v>670.01</v>
      </c>
      <c r="C15" s="55" t="s">
        <v>36</v>
      </c>
      <c r="D15" s="57">
        <v>720</v>
      </c>
      <c r="E15" s="58">
        <v>0.04</v>
      </c>
      <c r="F15" s="59">
        <v>0.02</v>
      </c>
      <c r="G15" s="58">
        <v>0.01</v>
      </c>
      <c r="H15" s="59">
        <v>0</v>
      </c>
      <c r="I15" s="58">
        <v>0</v>
      </c>
      <c r="J15" s="58">
        <v>0</v>
      </c>
      <c r="K15" s="60"/>
    </row>
    <row r="16" spans="1:13" ht="13.5">
      <c r="A16" s="55" t="s">
        <v>28</v>
      </c>
      <c r="B16" s="56">
        <f t="shared" si="0"/>
        <v>720.01</v>
      </c>
      <c r="C16" s="55" t="s">
        <v>36</v>
      </c>
      <c r="D16" s="57">
        <v>795</v>
      </c>
      <c r="E16" s="58">
        <v>0.05</v>
      </c>
      <c r="F16" s="59">
        <v>0.04</v>
      </c>
      <c r="G16" s="58">
        <v>0.02</v>
      </c>
      <c r="H16" s="59">
        <v>0.01</v>
      </c>
      <c r="I16" s="58">
        <v>0</v>
      </c>
      <c r="J16" s="58">
        <v>0</v>
      </c>
      <c r="K16" s="60"/>
    </row>
    <row r="17" spans="1:11" ht="13.5">
      <c r="A17" s="55" t="s">
        <v>28</v>
      </c>
      <c r="B17" s="56">
        <f t="shared" si="0"/>
        <v>795.01</v>
      </c>
      <c r="C17" s="55" t="s">
        <v>36</v>
      </c>
      <c r="D17" s="57">
        <v>900</v>
      </c>
      <c r="E17" s="58">
        <v>0.06</v>
      </c>
      <c r="F17" s="59">
        <v>0.05</v>
      </c>
      <c r="G17" s="58">
        <v>0.03</v>
      </c>
      <c r="H17" s="59">
        <v>0.02</v>
      </c>
      <c r="I17" s="58">
        <v>0.01</v>
      </c>
      <c r="J17" s="58">
        <v>0</v>
      </c>
      <c r="K17" s="60"/>
    </row>
    <row r="18" spans="1:11" ht="13.5">
      <c r="A18" s="55" t="s">
        <v>28</v>
      </c>
      <c r="B18" s="56">
        <f t="shared" si="0"/>
        <v>900.01</v>
      </c>
      <c r="C18" s="55" t="s">
        <v>36</v>
      </c>
      <c r="D18" s="57">
        <v>980</v>
      </c>
      <c r="E18" s="58">
        <v>7.0000000000000007E-2</v>
      </c>
      <c r="F18" s="59">
        <v>0.06</v>
      </c>
      <c r="G18" s="58">
        <v>0.05</v>
      </c>
      <c r="H18" s="59">
        <v>0.03</v>
      </c>
      <c r="I18" s="58">
        <v>0.02</v>
      </c>
      <c r="J18" s="58">
        <v>0.01</v>
      </c>
      <c r="K18" s="60"/>
    </row>
    <row r="19" spans="1:11" ht="13.5">
      <c r="A19" s="55" t="s">
        <v>28</v>
      </c>
      <c r="B19" s="56">
        <f t="shared" si="0"/>
        <v>980.01</v>
      </c>
      <c r="C19" s="55" t="s">
        <v>36</v>
      </c>
      <c r="D19" s="57">
        <v>1040</v>
      </c>
      <c r="E19" s="58">
        <v>0.08</v>
      </c>
      <c r="F19" s="59">
        <v>7.0000000000000007E-2</v>
      </c>
      <c r="G19" s="58">
        <v>0.06</v>
      </c>
      <c r="H19" s="59">
        <v>0.05</v>
      </c>
      <c r="I19" s="58">
        <v>0.03</v>
      </c>
      <c r="J19" s="58">
        <v>0.02</v>
      </c>
      <c r="K19" s="60"/>
    </row>
    <row r="20" spans="1:11" ht="13.5">
      <c r="A20" s="55" t="s">
        <v>28</v>
      </c>
      <c r="B20" s="56">
        <f t="shared" si="0"/>
        <v>1040.01</v>
      </c>
      <c r="C20" s="55" t="s">
        <v>36</v>
      </c>
      <c r="D20" s="57">
        <v>1115</v>
      </c>
      <c r="E20" s="58">
        <v>0.09</v>
      </c>
      <c r="F20" s="59">
        <v>0.08</v>
      </c>
      <c r="G20" s="58">
        <v>7.0000000000000007E-2</v>
      </c>
      <c r="H20" s="59">
        <v>0.06</v>
      </c>
      <c r="I20" s="58">
        <v>0.05</v>
      </c>
      <c r="J20" s="58">
        <v>0.04</v>
      </c>
      <c r="K20" s="60"/>
    </row>
    <row r="21" spans="1:11" ht="13.5">
      <c r="A21" s="55" t="s">
        <v>28</v>
      </c>
      <c r="B21" s="56">
        <f t="shared" si="0"/>
        <v>1115.01</v>
      </c>
      <c r="C21" s="55" t="s">
        <v>36</v>
      </c>
      <c r="D21" s="57">
        <v>1195</v>
      </c>
      <c r="E21" s="58">
        <v>0.1</v>
      </c>
      <c r="F21" s="59">
        <v>0.09</v>
      </c>
      <c r="G21" s="58">
        <v>0.08</v>
      </c>
      <c r="H21" s="59">
        <v>7.0000000000000007E-2</v>
      </c>
      <c r="I21" s="58">
        <v>0.06</v>
      </c>
      <c r="J21" s="58">
        <v>0.05</v>
      </c>
      <c r="K21" s="60"/>
    </row>
    <row r="22" spans="1:11" ht="13.5">
      <c r="A22" s="55" t="s">
        <v>28</v>
      </c>
      <c r="B22" s="56">
        <f t="shared" si="0"/>
        <v>1195.01</v>
      </c>
      <c r="C22" s="55" t="s">
        <v>36</v>
      </c>
      <c r="D22" s="57">
        <v>1290</v>
      </c>
      <c r="E22" s="58">
        <v>0.11</v>
      </c>
      <c r="F22" s="59">
        <v>0.1</v>
      </c>
      <c r="G22" s="58">
        <v>0.09</v>
      </c>
      <c r="H22" s="59">
        <v>0.08</v>
      </c>
      <c r="I22" s="58">
        <v>7.0000000000000007E-2</v>
      </c>
      <c r="J22" s="58">
        <v>0.06</v>
      </c>
      <c r="K22" s="60"/>
    </row>
    <row r="23" spans="1:11" ht="13.5">
      <c r="A23" s="55" t="s">
        <v>28</v>
      </c>
      <c r="B23" s="56">
        <f t="shared" si="0"/>
        <v>1290.01</v>
      </c>
      <c r="C23" s="55" t="s">
        <v>36</v>
      </c>
      <c r="D23" s="57">
        <v>1390</v>
      </c>
      <c r="E23" s="58">
        <v>0.12</v>
      </c>
      <c r="F23" s="59">
        <v>0.11</v>
      </c>
      <c r="G23" s="58">
        <v>0.1</v>
      </c>
      <c r="H23" s="59">
        <v>0.09</v>
      </c>
      <c r="I23" s="58">
        <v>0.09</v>
      </c>
      <c r="J23" s="58">
        <v>0.08</v>
      </c>
      <c r="K23" s="60"/>
    </row>
    <row r="24" spans="1:11" ht="13.5">
      <c r="A24" s="55" t="s">
        <v>28</v>
      </c>
      <c r="B24" s="56">
        <f t="shared" si="0"/>
        <v>1390.01</v>
      </c>
      <c r="C24" s="55" t="s">
        <v>36</v>
      </c>
      <c r="D24" s="57">
        <v>1525</v>
      </c>
      <c r="E24" s="58">
        <v>0.13</v>
      </c>
      <c r="F24" s="59">
        <v>0.12</v>
      </c>
      <c r="G24" s="58">
        <v>0.11</v>
      </c>
      <c r="H24" s="59">
        <v>0.11</v>
      </c>
      <c r="I24" s="58">
        <v>0.1</v>
      </c>
      <c r="J24" s="58">
        <v>0.09</v>
      </c>
      <c r="K24" s="60"/>
    </row>
    <row r="25" spans="1:11" ht="13.5">
      <c r="A25" s="55" t="s">
        <v>28</v>
      </c>
      <c r="B25" s="56">
        <f t="shared" si="0"/>
        <v>1525.01</v>
      </c>
      <c r="C25" s="55" t="s">
        <v>36</v>
      </c>
      <c r="D25" s="57">
        <v>1670</v>
      </c>
      <c r="E25" s="58">
        <v>0.14000000000000001</v>
      </c>
      <c r="F25" s="59">
        <v>0.13</v>
      </c>
      <c r="G25" s="58">
        <v>0.13</v>
      </c>
      <c r="H25" s="59">
        <v>0.12</v>
      </c>
      <c r="I25" s="58">
        <v>0.11</v>
      </c>
      <c r="J25" s="58">
        <v>0.1</v>
      </c>
      <c r="K25" s="60"/>
    </row>
    <row r="26" spans="1:11" ht="13.5">
      <c r="A26" s="55" t="s">
        <v>28</v>
      </c>
      <c r="B26" s="56">
        <f t="shared" si="0"/>
        <v>1670.01</v>
      </c>
      <c r="C26" s="55" t="s">
        <v>36</v>
      </c>
      <c r="D26" s="57">
        <v>1825</v>
      </c>
      <c r="E26" s="58">
        <v>0.15</v>
      </c>
      <c r="F26" s="59">
        <v>0.14000000000000001</v>
      </c>
      <c r="G26" s="58">
        <v>0.14000000000000001</v>
      </c>
      <c r="H26" s="59">
        <v>0.13</v>
      </c>
      <c r="I26" s="58">
        <v>0.12</v>
      </c>
      <c r="J26" s="58">
        <v>0.12</v>
      </c>
      <c r="K26" s="60"/>
    </row>
    <row r="27" spans="1:11" ht="13.5">
      <c r="A27" s="55" t="s">
        <v>28</v>
      </c>
      <c r="B27" s="56">
        <f t="shared" si="0"/>
        <v>1825.01</v>
      </c>
      <c r="C27" s="55" t="s">
        <v>36</v>
      </c>
      <c r="D27" s="57">
        <v>1930</v>
      </c>
      <c r="E27" s="58">
        <v>0.16</v>
      </c>
      <c r="F27" s="59">
        <v>0.15</v>
      </c>
      <c r="G27" s="58">
        <v>0.15</v>
      </c>
      <c r="H27" s="59">
        <v>0.14000000000000001</v>
      </c>
      <c r="I27" s="58">
        <v>0.14000000000000001</v>
      </c>
      <c r="J27" s="58">
        <v>0.13</v>
      </c>
      <c r="K27" s="60"/>
    </row>
    <row r="28" spans="1:11" ht="13.5">
      <c r="A28" s="55" t="s">
        <v>28</v>
      </c>
      <c r="B28" s="56">
        <f t="shared" si="0"/>
        <v>1930.01</v>
      </c>
      <c r="C28" s="55" t="s">
        <v>36</v>
      </c>
      <c r="D28" s="57">
        <v>2040</v>
      </c>
      <c r="E28" s="58">
        <v>0.17</v>
      </c>
      <c r="F28" s="59">
        <v>0.16</v>
      </c>
      <c r="G28" s="58">
        <v>0.16</v>
      </c>
      <c r="H28" s="59">
        <v>0.15</v>
      </c>
      <c r="I28" s="58">
        <v>0.15</v>
      </c>
      <c r="J28" s="58">
        <v>0.14000000000000001</v>
      </c>
      <c r="K28" s="60"/>
    </row>
    <row r="29" spans="1:11" ht="13.5">
      <c r="A29" s="55" t="s">
        <v>28</v>
      </c>
      <c r="B29" s="56">
        <f t="shared" si="0"/>
        <v>2040.01</v>
      </c>
      <c r="C29" s="55" t="s">
        <v>36</v>
      </c>
      <c r="D29" s="57">
        <v>2165</v>
      </c>
      <c r="E29" s="58">
        <v>0.18</v>
      </c>
      <c r="F29" s="59">
        <v>0.17</v>
      </c>
      <c r="G29" s="58">
        <v>0.17</v>
      </c>
      <c r="H29" s="59">
        <v>0.16</v>
      </c>
      <c r="I29" s="58">
        <v>0.16</v>
      </c>
      <c r="J29" s="58">
        <v>0.15</v>
      </c>
      <c r="K29" s="60"/>
    </row>
    <row r="30" spans="1:11" ht="13.5">
      <c r="A30" s="55" t="s">
        <v>28</v>
      </c>
      <c r="B30" s="56">
        <f t="shared" si="0"/>
        <v>2165.0100000000002</v>
      </c>
      <c r="C30" s="55" t="s">
        <v>36</v>
      </c>
      <c r="D30" s="57">
        <v>2310</v>
      </c>
      <c r="E30" s="58">
        <v>0.19</v>
      </c>
      <c r="F30" s="59">
        <v>0.18</v>
      </c>
      <c r="G30" s="58">
        <v>0.18</v>
      </c>
      <c r="H30" s="59">
        <v>0.17</v>
      </c>
      <c r="I30" s="58">
        <v>0.17</v>
      </c>
      <c r="J30" s="58">
        <v>0.16</v>
      </c>
      <c r="K30" s="60"/>
    </row>
    <row r="31" spans="1:11" ht="13.5">
      <c r="A31" s="55" t="s">
        <v>28</v>
      </c>
      <c r="B31" s="56">
        <f t="shared" si="0"/>
        <v>2310.0100000000002</v>
      </c>
      <c r="C31" s="55" t="s">
        <v>36</v>
      </c>
      <c r="D31" s="57">
        <v>2475</v>
      </c>
      <c r="E31" s="58">
        <v>0.2</v>
      </c>
      <c r="F31" s="59">
        <v>0.2</v>
      </c>
      <c r="G31" s="58">
        <v>0.19</v>
      </c>
      <c r="H31" s="59">
        <v>0.19</v>
      </c>
      <c r="I31" s="58">
        <v>0.18</v>
      </c>
      <c r="J31" s="58">
        <v>0.18</v>
      </c>
      <c r="K31" s="60"/>
    </row>
    <row r="32" spans="1:11" ht="13.5">
      <c r="A32" s="55" t="s">
        <v>28</v>
      </c>
      <c r="B32" s="56">
        <f t="shared" si="0"/>
        <v>2475.0100000000002</v>
      </c>
      <c r="C32" s="55" t="s">
        <v>36</v>
      </c>
      <c r="D32" s="57">
        <v>2700</v>
      </c>
      <c r="E32" s="58">
        <v>0.21</v>
      </c>
      <c r="F32" s="59">
        <v>0.21</v>
      </c>
      <c r="G32" s="58">
        <v>0.2</v>
      </c>
      <c r="H32" s="59">
        <v>0.2</v>
      </c>
      <c r="I32" s="58">
        <v>0.19</v>
      </c>
      <c r="J32" s="58">
        <v>0.19</v>
      </c>
      <c r="K32" s="60"/>
    </row>
    <row r="33" spans="1:13" ht="13.5">
      <c r="A33" s="55" t="s">
        <v>28</v>
      </c>
      <c r="B33" s="56">
        <f t="shared" si="0"/>
        <v>2700.01</v>
      </c>
      <c r="C33" s="55" t="s">
        <v>36</v>
      </c>
      <c r="D33" s="57">
        <v>3030</v>
      </c>
      <c r="E33" s="58">
        <v>0.22</v>
      </c>
      <c r="F33" s="59">
        <v>0.22</v>
      </c>
      <c r="G33" s="58">
        <v>0.21</v>
      </c>
      <c r="H33" s="59">
        <v>0.21</v>
      </c>
      <c r="I33" s="58">
        <v>0.2</v>
      </c>
      <c r="J33" s="58">
        <v>0.2</v>
      </c>
      <c r="K33" s="60"/>
    </row>
    <row r="34" spans="1:13" ht="13.5">
      <c r="A34" s="55" t="s">
        <v>28</v>
      </c>
      <c r="B34" s="56">
        <f t="shared" si="0"/>
        <v>3030.01</v>
      </c>
      <c r="C34" s="55" t="s">
        <v>36</v>
      </c>
      <c r="D34" s="57">
        <v>3450</v>
      </c>
      <c r="E34" s="58">
        <v>0.23</v>
      </c>
      <c r="F34" s="59">
        <v>0.23</v>
      </c>
      <c r="G34" s="58">
        <v>0.22</v>
      </c>
      <c r="H34" s="59">
        <v>0.22</v>
      </c>
      <c r="I34" s="58">
        <v>0.22</v>
      </c>
      <c r="J34" s="58">
        <v>0.21</v>
      </c>
      <c r="K34" s="60"/>
    </row>
    <row r="35" spans="1:13" ht="13.5">
      <c r="A35" s="55" t="s">
        <v>28</v>
      </c>
      <c r="B35" s="56">
        <f t="shared" si="0"/>
        <v>3450.01</v>
      </c>
      <c r="C35" s="55" t="s">
        <v>36</v>
      </c>
      <c r="D35" s="57">
        <v>4020</v>
      </c>
      <c r="E35" s="58">
        <v>0.24</v>
      </c>
      <c r="F35" s="59">
        <v>0.24</v>
      </c>
      <c r="G35" s="58">
        <v>0.23</v>
      </c>
      <c r="H35" s="59">
        <v>0.23</v>
      </c>
      <c r="I35" s="58">
        <v>0.23</v>
      </c>
      <c r="J35" s="58">
        <v>0.23</v>
      </c>
      <c r="K35" s="60"/>
    </row>
    <row r="36" spans="1:13" ht="13.5">
      <c r="A36" s="55" t="s">
        <v>28</v>
      </c>
      <c r="B36" s="56">
        <f t="shared" si="0"/>
        <v>4020.01</v>
      </c>
      <c r="C36" s="55" t="s">
        <v>36</v>
      </c>
      <c r="D36" s="57">
        <v>4540</v>
      </c>
      <c r="E36" s="58">
        <v>0.25</v>
      </c>
      <c r="F36" s="59">
        <v>0.25</v>
      </c>
      <c r="G36" s="58">
        <v>0.24</v>
      </c>
      <c r="H36" s="59">
        <v>0.24</v>
      </c>
      <c r="I36" s="58">
        <v>0.24</v>
      </c>
      <c r="J36" s="58">
        <v>0.24</v>
      </c>
      <c r="K36" s="60"/>
    </row>
    <row r="37" spans="1:13" ht="13.5">
      <c r="A37" s="55" t="s">
        <v>28</v>
      </c>
      <c r="B37" s="56">
        <f t="shared" si="0"/>
        <v>4540.01</v>
      </c>
      <c r="C37" s="55" t="s">
        <v>36</v>
      </c>
      <c r="D37" s="57">
        <v>5070</v>
      </c>
      <c r="E37" s="58">
        <v>0.26</v>
      </c>
      <c r="F37" s="59">
        <v>0.26</v>
      </c>
      <c r="G37" s="58">
        <v>0.26</v>
      </c>
      <c r="H37" s="59">
        <v>0.25</v>
      </c>
      <c r="I37" s="58">
        <v>0.25</v>
      </c>
      <c r="J37" s="58">
        <v>0.25</v>
      </c>
      <c r="K37" s="60"/>
    </row>
    <row r="38" spans="1:13" ht="13.5">
      <c r="A38" s="55" t="s">
        <v>28</v>
      </c>
      <c r="B38" s="56">
        <f t="shared" si="0"/>
        <v>5070.01</v>
      </c>
      <c r="C38" s="55" t="s">
        <v>36</v>
      </c>
      <c r="D38" s="57">
        <v>5740</v>
      </c>
      <c r="E38" s="58">
        <v>0.27</v>
      </c>
      <c r="F38" s="59">
        <v>0.27</v>
      </c>
      <c r="G38" s="58">
        <v>0.27</v>
      </c>
      <c r="H38" s="59">
        <v>0.26</v>
      </c>
      <c r="I38" s="58">
        <v>0.26</v>
      </c>
      <c r="J38" s="58">
        <v>0.26</v>
      </c>
      <c r="K38" s="60"/>
    </row>
    <row r="39" spans="1:13" ht="13.5">
      <c r="A39" s="55" t="s">
        <v>28</v>
      </c>
      <c r="B39" s="56">
        <f t="shared" si="0"/>
        <v>5740.01</v>
      </c>
      <c r="C39" s="55" t="s">
        <v>36</v>
      </c>
      <c r="D39" s="57">
        <v>6600</v>
      </c>
      <c r="E39" s="58">
        <v>0.28000000000000003</v>
      </c>
      <c r="F39" s="59">
        <v>0.28000000000000003</v>
      </c>
      <c r="G39" s="58">
        <v>0.28000000000000003</v>
      </c>
      <c r="H39" s="59">
        <v>0.27</v>
      </c>
      <c r="I39" s="58">
        <v>0.27</v>
      </c>
      <c r="J39" s="58">
        <v>0.27</v>
      </c>
      <c r="K39" s="60"/>
    </row>
    <row r="40" spans="1:13" ht="13.5">
      <c r="A40" s="55" t="s">
        <v>28</v>
      </c>
      <c r="B40" s="56">
        <f t="shared" si="0"/>
        <v>6600.01</v>
      </c>
      <c r="C40" s="55" t="s">
        <v>36</v>
      </c>
      <c r="D40" s="57">
        <v>7790</v>
      </c>
      <c r="E40" s="58">
        <v>0.28999999999999998</v>
      </c>
      <c r="F40" s="59">
        <v>0.28999999999999998</v>
      </c>
      <c r="G40" s="58">
        <v>0.28999999999999998</v>
      </c>
      <c r="H40" s="59">
        <v>0.28999999999999998</v>
      </c>
      <c r="I40" s="58">
        <v>0.28000000000000003</v>
      </c>
      <c r="J40" s="58">
        <v>0.28000000000000003</v>
      </c>
      <c r="K40" s="60"/>
    </row>
    <row r="41" spans="1:13" ht="13.5">
      <c r="A41" s="55" t="s">
        <v>28</v>
      </c>
      <c r="B41" s="56">
        <f t="shared" si="0"/>
        <v>7790.01</v>
      </c>
      <c r="C41" s="55" t="s">
        <v>36</v>
      </c>
      <c r="D41" s="57">
        <v>9380</v>
      </c>
      <c r="E41" s="58">
        <v>0.30499999999999999</v>
      </c>
      <c r="F41" s="59">
        <v>0.30499999999999999</v>
      </c>
      <c r="G41" s="58">
        <v>0.30499999999999999</v>
      </c>
      <c r="H41" s="59">
        <v>0.30499999999999999</v>
      </c>
      <c r="I41" s="58">
        <v>0.30499999999999999</v>
      </c>
      <c r="J41" s="58">
        <v>0.29499999999999998</v>
      </c>
      <c r="K41" s="60"/>
    </row>
    <row r="42" spans="1:13" ht="13.5">
      <c r="A42" s="55" t="s">
        <v>28</v>
      </c>
      <c r="B42" s="56">
        <f t="shared" si="0"/>
        <v>9380.01</v>
      </c>
      <c r="C42" s="55" t="s">
        <v>36</v>
      </c>
      <c r="D42" s="57">
        <v>11070</v>
      </c>
      <c r="E42" s="58">
        <v>0.315</v>
      </c>
      <c r="F42" s="59">
        <v>0.315</v>
      </c>
      <c r="G42" s="58">
        <v>0.315</v>
      </c>
      <c r="H42" s="59">
        <v>0.315</v>
      </c>
      <c r="I42" s="58">
        <v>0.315</v>
      </c>
      <c r="J42" s="58">
        <v>0.30499999999999999</v>
      </c>
      <c r="K42" s="60"/>
    </row>
    <row r="43" spans="1:13" ht="13.5">
      <c r="A43" s="61" t="s">
        <v>28</v>
      </c>
      <c r="B43" s="62">
        <f t="shared" si="0"/>
        <v>11070.01</v>
      </c>
      <c r="C43" s="61" t="s">
        <v>37</v>
      </c>
      <c r="D43" s="63">
        <v>11070</v>
      </c>
      <c r="E43" s="64">
        <v>0.32500000000000001</v>
      </c>
      <c r="F43" s="65">
        <v>0.32500000000000001</v>
      </c>
      <c r="G43" s="64">
        <v>0.32500000000000001</v>
      </c>
      <c r="H43" s="65">
        <v>0.32500000000000001</v>
      </c>
      <c r="I43" s="64">
        <v>0.32500000000000001</v>
      </c>
      <c r="J43" s="64">
        <v>0.315</v>
      </c>
      <c r="K43" s="60"/>
    </row>
    <row r="44" spans="1:13">
      <c r="B44" s="48"/>
      <c r="D44" s="48"/>
      <c r="K44" s="60"/>
    </row>
    <row r="45" spans="1:13">
      <c r="B45" s="60"/>
      <c r="D45" s="60"/>
    </row>
    <row r="46" spans="1:13">
      <c r="A46" s="299" t="s">
        <v>30</v>
      </c>
      <c r="B46" s="299"/>
      <c r="C46" s="299"/>
      <c r="D46" s="299"/>
      <c r="E46" s="299"/>
      <c r="F46" s="299"/>
      <c r="G46" s="299"/>
      <c r="H46" s="299"/>
      <c r="I46" s="299"/>
      <c r="J46" s="299"/>
    </row>
    <row r="47" spans="1:13">
      <c r="M47" s="43"/>
    </row>
    <row r="48" spans="1:13">
      <c r="M48" s="43"/>
    </row>
    <row r="49" spans="1:13">
      <c r="A49" s="44"/>
      <c r="B49" s="45"/>
      <c r="C49" s="291" t="s">
        <v>38</v>
      </c>
      <c r="D49" s="291"/>
      <c r="E49" s="291"/>
      <c r="F49" s="291"/>
      <c r="G49" s="291"/>
      <c r="H49" s="291"/>
      <c r="I49" s="291"/>
      <c r="J49" s="291"/>
      <c r="M49" s="43"/>
    </row>
    <row r="50" spans="1:13">
      <c r="A50" s="44"/>
      <c r="B50" s="46"/>
      <c r="C50" s="291" t="s">
        <v>39</v>
      </c>
      <c r="D50" s="291"/>
      <c r="E50" s="291"/>
      <c r="F50" s="291"/>
      <c r="G50" s="291"/>
      <c r="H50" s="291"/>
      <c r="I50" s="291"/>
      <c r="J50" s="291"/>
      <c r="M50" s="43"/>
    </row>
    <row r="51" spans="1:13" ht="15.75">
      <c r="B51" s="48"/>
      <c r="D51" s="48"/>
      <c r="J51" s="47"/>
    </row>
    <row r="52" spans="1:13">
      <c r="B52" s="48"/>
      <c r="D52" s="48"/>
    </row>
    <row r="53" spans="1:13" ht="19.5" customHeight="1">
      <c r="A53" s="292" t="s">
        <v>33</v>
      </c>
      <c r="B53" s="293"/>
      <c r="C53" s="293"/>
      <c r="D53" s="294"/>
      <c r="E53" s="49" t="s">
        <v>34</v>
      </c>
      <c r="F53" s="50"/>
      <c r="G53" s="50"/>
      <c r="H53" s="50"/>
      <c r="I53" s="50"/>
      <c r="J53" s="51"/>
    </row>
    <row r="54" spans="1:13" ht="17.25" customHeight="1">
      <c r="A54" s="295"/>
      <c r="B54" s="296"/>
      <c r="C54" s="296"/>
      <c r="D54" s="297"/>
      <c r="E54" s="52">
        <v>0</v>
      </c>
      <c r="F54" s="66">
        <v>1</v>
      </c>
      <c r="G54" s="66">
        <v>2</v>
      </c>
      <c r="H54" s="66">
        <v>3</v>
      </c>
      <c r="I54" s="66">
        <v>4</v>
      </c>
      <c r="J54" s="54" t="s">
        <v>35</v>
      </c>
    </row>
    <row r="55" spans="1:13" ht="13.5">
      <c r="A55" s="55" t="s">
        <v>28</v>
      </c>
      <c r="B55" s="56">
        <v>0</v>
      </c>
      <c r="C55" s="55" t="s">
        <v>36</v>
      </c>
      <c r="D55" s="57">
        <v>690</v>
      </c>
      <c r="E55" s="67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</row>
    <row r="56" spans="1:13" ht="13.5">
      <c r="A56" s="55" t="s">
        <v>28</v>
      </c>
      <c r="B56" s="56">
        <f>D55+0.01</f>
        <v>690.01</v>
      </c>
      <c r="C56" s="55" t="s">
        <v>36</v>
      </c>
      <c r="D56" s="57">
        <v>735</v>
      </c>
      <c r="E56" s="67">
        <v>0.01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</row>
    <row r="57" spans="1:13" ht="13.5">
      <c r="A57" s="55" t="s">
        <v>28</v>
      </c>
      <c r="B57" s="56">
        <f t="shared" ref="B57:B85" si="1">D56+0.01</f>
        <v>735.01</v>
      </c>
      <c r="C57" s="55" t="s">
        <v>36</v>
      </c>
      <c r="D57" s="57">
        <v>775</v>
      </c>
      <c r="E57" s="67">
        <v>0.02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</row>
    <row r="58" spans="1:13" ht="13.5">
      <c r="A58" s="55" t="s">
        <v>28</v>
      </c>
      <c r="B58" s="56">
        <f t="shared" si="1"/>
        <v>775.01</v>
      </c>
      <c r="C58" s="55" t="s">
        <v>36</v>
      </c>
      <c r="D58" s="57">
        <v>815</v>
      </c>
      <c r="E58" s="67">
        <v>0.03</v>
      </c>
      <c r="F58" s="68">
        <v>0.01</v>
      </c>
      <c r="G58" s="68">
        <v>0</v>
      </c>
      <c r="H58" s="68">
        <v>0</v>
      </c>
      <c r="I58" s="68">
        <v>0</v>
      </c>
      <c r="J58" s="68">
        <v>0</v>
      </c>
    </row>
    <row r="59" spans="1:13" ht="13.5">
      <c r="A59" s="55" t="s">
        <v>28</v>
      </c>
      <c r="B59" s="56">
        <f t="shared" si="1"/>
        <v>815.01</v>
      </c>
      <c r="C59" s="55" t="s">
        <v>36</v>
      </c>
      <c r="D59" s="57">
        <v>865</v>
      </c>
      <c r="E59" s="67">
        <v>0.04</v>
      </c>
      <c r="F59" s="68">
        <v>0.03</v>
      </c>
      <c r="G59" s="68">
        <v>0.01</v>
      </c>
      <c r="H59" s="68">
        <v>0</v>
      </c>
      <c r="I59" s="68">
        <v>0</v>
      </c>
      <c r="J59" s="68">
        <v>0</v>
      </c>
    </row>
    <row r="60" spans="1:13" ht="13.5">
      <c r="A60" s="55" t="s">
        <v>28</v>
      </c>
      <c r="B60" s="56">
        <f t="shared" si="1"/>
        <v>865.01</v>
      </c>
      <c r="C60" s="55" t="s">
        <v>36</v>
      </c>
      <c r="D60" s="57">
        <v>950</v>
      </c>
      <c r="E60" s="67">
        <v>0.05</v>
      </c>
      <c r="F60" s="68">
        <v>0.04</v>
      </c>
      <c r="G60" s="68">
        <v>0.03</v>
      </c>
      <c r="H60" s="68">
        <v>0.01</v>
      </c>
      <c r="I60" s="68">
        <v>0</v>
      </c>
      <c r="J60" s="68">
        <v>0</v>
      </c>
    </row>
    <row r="61" spans="1:13" ht="13.5">
      <c r="A61" s="55" t="s">
        <v>28</v>
      </c>
      <c r="B61" s="56">
        <f t="shared" si="1"/>
        <v>950.01</v>
      </c>
      <c r="C61" s="55" t="s">
        <v>36</v>
      </c>
      <c r="D61" s="57">
        <v>1055</v>
      </c>
      <c r="E61" s="67">
        <v>0.06</v>
      </c>
      <c r="F61" s="68">
        <v>0.05</v>
      </c>
      <c r="G61" s="68">
        <v>0.04</v>
      </c>
      <c r="H61" s="68">
        <v>0.03</v>
      </c>
      <c r="I61" s="68">
        <v>0.01</v>
      </c>
      <c r="J61" s="68">
        <v>0</v>
      </c>
    </row>
    <row r="62" spans="1:13" ht="13.5">
      <c r="A62" s="55" t="s">
        <v>28</v>
      </c>
      <c r="B62" s="56">
        <f t="shared" si="1"/>
        <v>1055.01</v>
      </c>
      <c r="C62" s="55" t="s">
        <v>36</v>
      </c>
      <c r="D62" s="57">
        <v>1195</v>
      </c>
      <c r="E62" s="67">
        <v>7.0000000000000007E-2</v>
      </c>
      <c r="F62" s="68">
        <v>0.06</v>
      </c>
      <c r="G62" s="68">
        <v>0.05</v>
      </c>
      <c r="H62" s="68">
        <v>0.04</v>
      </c>
      <c r="I62" s="68">
        <v>0.03</v>
      </c>
      <c r="J62" s="68">
        <v>0.02</v>
      </c>
    </row>
    <row r="63" spans="1:13" ht="13.5">
      <c r="A63" s="55" t="s">
        <v>28</v>
      </c>
      <c r="B63" s="56">
        <f t="shared" si="1"/>
        <v>1195.01</v>
      </c>
      <c r="C63" s="55" t="s">
        <v>36</v>
      </c>
      <c r="D63" s="57">
        <v>1370</v>
      </c>
      <c r="E63" s="67">
        <v>0.08</v>
      </c>
      <c r="F63" s="68">
        <v>7.0000000000000007E-2</v>
      </c>
      <c r="G63" s="68">
        <v>0.06</v>
      </c>
      <c r="H63" s="68">
        <v>0.05</v>
      </c>
      <c r="I63" s="68">
        <v>0.04</v>
      </c>
      <c r="J63" s="68">
        <v>0.04</v>
      </c>
    </row>
    <row r="64" spans="1:13" ht="13.5">
      <c r="A64" s="55" t="s">
        <v>28</v>
      </c>
      <c r="B64" s="56">
        <f t="shared" si="1"/>
        <v>1370.01</v>
      </c>
      <c r="C64" s="55" t="s">
        <v>36</v>
      </c>
      <c r="D64" s="57">
        <v>1590</v>
      </c>
      <c r="E64" s="67">
        <v>0.09</v>
      </c>
      <c r="F64" s="68">
        <v>0.08</v>
      </c>
      <c r="G64" s="68">
        <v>7.0000000000000007E-2</v>
      </c>
      <c r="H64" s="68">
        <v>7.0000000000000007E-2</v>
      </c>
      <c r="I64" s="68">
        <v>0.06</v>
      </c>
      <c r="J64" s="68">
        <v>0.05</v>
      </c>
    </row>
    <row r="65" spans="1:10" ht="13.5">
      <c r="A65" s="55" t="s">
        <v>28</v>
      </c>
      <c r="B65" s="56">
        <f t="shared" si="1"/>
        <v>1590.01</v>
      </c>
      <c r="C65" s="55" t="s">
        <v>36</v>
      </c>
      <c r="D65" s="57">
        <v>1690</v>
      </c>
      <c r="E65" s="67">
        <v>0.1</v>
      </c>
      <c r="F65" s="68">
        <v>0.09</v>
      </c>
      <c r="G65" s="68">
        <v>0.09</v>
      </c>
      <c r="H65" s="68">
        <v>0.08</v>
      </c>
      <c r="I65" s="68">
        <v>7.0000000000000007E-2</v>
      </c>
      <c r="J65" s="68">
        <v>7.0000000000000007E-2</v>
      </c>
    </row>
    <row r="66" spans="1:10" ht="13.5">
      <c r="A66" s="55" t="s">
        <v>28</v>
      </c>
      <c r="B66" s="56">
        <f t="shared" si="1"/>
        <v>1690.01</v>
      </c>
      <c r="C66" s="55" t="s">
        <v>36</v>
      </c>
      <c r="D66" s="57">
        <v>1805</v>
      </c>
      <c r="E66" s="67">
        <v>0.11</v>
      </c>
      <c r="F66" s="68">
        <v>0.1</v>
      </c>
      <c r="G66" s="68">
        <v>0.1</v>
      </c>
      <c r="H66" s="68">
        <v>0.09</v>
      </c>
      <c r="I66" s="68">
        <v>0.08</v>
      </c>
      <c r="J66" s="68">
        <v>0.08</v>
      </c>
    </row>
    <row r="67" spans="1:10" ht="13.5">
      <c r="A67" s="55" t="s">
        <v>28</v>
      </c>
      <c r="B67" s="56">
        <f t="shared" si="1"/>
        <v>1805.01</v>
      </c>
      <c r="C67" s="55" t="s">
        <v>36</v>
      </c>
      <c r="D67" s="57">
        <v>1950</v>
      </c>
      <c r="E67" s="67">
        <v>0.12</v>
      </c>
      <c r="F67" s="68">
        <v>0.11</v>
      </c>
      <c r="G67" s="68">
        <v>0.11</v>
      </c>
      <c r="H67" s="68">
        <v>0.1</v>
      </c>
      <c r="I67" s="68">
        <v>0.1</v>
      </c>
      <c r="J67" s="68">
        <v>0.09</v>
      </c>
    </row>
    <row r="68" spans="1:10" ht="13.5">
      <c r="A68" s="55" t="s">
        <v>28</v>
      </c>
      <c r="B68" s="56">
        <f t="shared" si="1"/>
        <v>1950.01</v>
      </c>
      <c r="C68" s="55" t="s">
        <v>36</v>
      </c>
      <c r="D68" s="57">
        <v>2105</v>
      </c>
      <c r="E68" s="67">
        <v>0.13</v>
      </c>
      <c r="F68" s="68">
        <v>0.12</v>
      </c>
      <c r="G68" s="68">
        <v>0.12</v>
      </c>
      <c r="H68" s="68">
        <v>0.11</v>
      </c>
      <c r="I68" s="68">
        <v>0.11</v>
      </c>
      <c r="J68" s="68">
        <v>0.1</v>
      </c>
    </row>
    <row r="69" spans="1:10" ht="13.5">
      <c r="A69" s="55" t="s">
        <v>28</v>
      </c>
      <c r="B69" s="56">
        <f t="shared" si="1"/>
        <v>2105.0100000000002</v>
      </c>
      <c r="C69" s="55" t="s">
        <v>36</v>
      </c>
      <c r="D69" s="57">
        <v>2290</v>
      </c>
      <c r="E69" s="67">
        <v>0.14000000000000001</v>
      </c>
      <c r="F69" s="68">
        <v>0.14000000000000001</v>
      </c>
      <c r="G69" s="68">
        <v>0.13</v>
      </c>
      <c r="H69" s="68">
        <v>0.12</v>
      </c>
      <c r="I69" s="68">
        <v>0.12</v>
      </c>
      <c r="J69" s="68">
        <v>0.11</v>
      </c>
    </row>
    <row r="70" spans="1:10" ht="13.5">
      <c r="A70" s="55" t="s">
        <v>28</v>
      </c>
      <c r="B70" s="56">
        <f t="shared" si="1"/>
        <v>2290.0100000000002</v>
      </c>
      <c r="C70" s="55" t="s">
        <v>36</v>
      </c>
      <c r="D70" s="57">
        <v>2505</v>
      </c>
      <c r="E70" s="67">
        <v>0.15</v>
      </c>
      <c r="F70" s="68">
        <v>0.15</v>
      </c>
      <c r="G70" s="68">
        <v>0.14000000000000001</v>
      </c>
      <c r="H70" s="68">
        <v>0.14000000000000001</v>
      </c>
      <c r="I70" s="68">
        <v>0.13</v>
      </c>
      <c r="J70" s="68">
        <v>0.13</v>
      </c>
    </row>
    <row r="71" spans="1:10" ht="13.5">
      <c r="A71" s="55" t="s">
        <v>28</v>
      </c>
      <c r="B71" s="56">
        <f t="shared" si="1"/>
        <v>2505.0100000000002</v>
      </c>
      <c r="C71" s="55" t="s">
        <v>36</v>
      </c>
      <c r="D71" s="57">
        <v>2865</v>
      </c>
      <c r="E71" s="67">
        <v>0.16</v>
      </c>
      <c r="F71" s="68">
        <v>0.16</v>
      </c>
      <c r="G71" s="68">
        <v>0.15</v>
      </c>
      <c r="H71" s="68">
        <v>0.15</v>
      </c>
      <c r="I71" s="68">
        <v>0.14000000000000001</v>
      </c>
      <c r="J71" s="68">
        <v>0.14000000000000001</v>
      </c>
    </row>
    <row r="72" spans="1:10" ht="13.5">
      <c r="A72" s="55" t="s">
        <v>28</v>
      </c>
      <c r="B72" s="56">
        <f t="shared" si="1"/>
        <v>2865.01</v>
      </c>
      <c r="C72" s="55" t="s">
        <v>36</v>
      </c>
      <c r="D72" s="57">
        <v>3275</v>
      </c>
      <c r="E72" s="67">
        <v>0.17</v>
      </c>
      <c r="F72" s="68">
        <v>0.17</v>
      </c>
      <c r="G72" s="68">
        <v>0.16</v>
      </c>
      <c r="H72" s="68">
        <v>0.16</v>
      </c>
      <c r="I72" s="68">
        <v>0.15</v>
      </c>
      <c r="J72" s="68">
        <v>0.15</v>
      </c>
    </row>
    <row r="73" spans="1:10" ht="13.5">
      <c r="A73" s="55" t="s">
        <v>28</v>
      </c>
      <c r="B73" s="56">
        <f t="shared" si="1"/>
        <v>3275.01</v>
      </c>
      <c r="C73" s="55" t="s">
        <v>36</v>
      </c>
      <c r="D73" s="57">
        <v>3525</v>
      </c>
      <c r="E73" s="67">
        <v>0.18</v>
      </c>
      <c r="F73" s="68">
        <v>0.18</v>
      </c>
      <c r="G73" s="68">
        <v>0.17</v>
      </c>
      <c r="H73" s="68">
        <v>0.17</v>
      </c>
      <c r="I73" s="68">
        <v>0.17</v>
      </c>
      <c r="J73" s="68">
        <v>0.16</v>
      </c>
    </row>
    <row r="74" spans="1:10" ht="13.5">
      <c r="A74" s="55" t="s">
        <v>28</v>
      </c>
      <c r="B74" s="56">
        <f t="shared" si="1"/>
        <v>3525.01</v>
      </c>
      <c r="C74" s="55" t="s">
        <v>36</v>
      </c>
      <c r="D74" s="57">
        <v>3790</v>
      </c>
      <c r="E74" s="67">
        <v>0.19</v>
      </c>
      <c r="F74" s="68">
        <v>0.19</v>
      </c>
      <c r="G74" s="68">
        <v>0.18</v>
      </c>
      <c r="H74" s="68">
        <v>0.18</v>
      </c>
      <c r="I74" s="68">
        <v>0.18</v>
      </c>
      <c r="J74" s="68">
        <v>0.17</v>
      </c>
    </row>
    <row r="75" spans="1:10" ht="13.5">
      <c r="A75" s="55" t="s">
        <v>28</v>
      </c>
      <c r="B75" s="56">
        <f t="shared" si="1"/>
        <v>3790.01</v>
      </c>
      <c r="C75" s="55" t="s">
        <v>36</v>
      </c>
      <c r="D75" s="57">
        <v>4110</v>
      </c>
      <c r="E75" s="67">
        <v>0.2</v>
      </c>
      <c r="F75" s="68">
        <v>0.2</v>
      </c>
      <c r="G75" s="68">
        <v>0.19</v>
      </c>
      <c r="H75" s="68">
        <v>0.19</v>
      </c>
      <c r="I75" s="68">
        <v>0.19</v>
      </c>
      <c r="J75" s="68">
        <v>0.19</v>
      </c>
    </row>
    <row r="76" spans="1:10" ht="13.5">
      <c r="A76" s="55" t="s">
        <v>28</v>
      </c>
      <c r="B76" s="56">
        <f t="shared" si="1"/>
        <v>4110.01</v>
      </c>
      <c r="C76" s="55" t="s">
        <v>36</v>
      </c>
      <c r="D76" s="57">
        <v>4495</v>
      </c>
      <c r="E76" s="67">
        <v>0.21</v>
      </c>
      <c r="F76" s="68">
        <v>0.21</v>
      </c>
      <c r="G76" s="68">
        <v>0.2</v>
      </c>
      <c r="H76" s="68">
        <v>0.2</v>
      </c>
      <c r="I76" s="68">
        <v>0.2</v>
      </c>
      <c r="J76" s="68">
        <v>0.2</v>
      </c>
    </row>
    <row r="77" spans="1:10" ht="13.5">
      <c r="A77" s="55" t="s">
        <v>28</v>
      </c>
      <c r="B77" s="56">
        <f t="shared" si="1"/>
        <v>4495.01</v>
      </c>
      <c r="C77" s="55" t="s">
        <v>36</v>
      </c>
      <c r="D77" s="57">
        <v>4955</v>
      </c>
      <c r="E77" s="67">
        <v>0.22</v>
      </c>
      <c r="F77" s="68">
        <v>0.22</v>
      </c>
      <c r="G77" s="68">
        <v>0.22</v>
      </c>
      <c r="H77" s="68">
        <v>0.21</v>
      </c>
      <c r="I77" s="68">
        <v>0.21</v>
      </c>
      <c r="J77" s="68">
        <v>0.21</v>
      </c>
    </row>
    <row r="78" spans="1:10" ht="13.5">
      <c r="A78" s="55" t="s">
        <v>28</v>
      </c>
      <c r="B78" s="56">
        <f t="shared" si="1"/>
        <v>4955.01</v>
      </c>
      <c r="C78" s="55" t="s">
        <v>36</v>
      </c>
      <c r="D78" s="57">
        <v>5520</v>
      </c>
      <c r="E78" s="67">
        <v>0.23</v>
      </c>
      <c r="F78" s="68">
        <v>0.23</v>
      </c>
      <c r="G78" s="68">
        <v>0.23</v>
      </c>
      <c r="H78" s="68">
        <v>0.22</v>
      </c>
      <c r="I78" s="68">
        <v>0.22</v>
      </c>
      <c r="J78" s="68">
        <v>0.22</v>
      </c>
    </row>
    <row r="79" spans="1:10" ht="13.5">
      <c r="A79" s="55" t="s">
        <v>28</v>
      </c>
      <c r="B79" s="56">
        <f t="shared" si="1"/>
        <v>5520.01</v>
      </c>
      <c r="C79" s="55" t="s">
        <v>36</v>
      </c>
      <c r="D79" s="57">
        <v>6230</v>
      </c>
      <c r="E79" s="67">
        <v>0.24</v>
      </c>
      <c r="F79" s="68">
        <v>0.24</v>
      </c>
      <c r="G79" s="68">
        <v>0.24</v>
      </c>
      <c r="H79" s="68">
        <v>0.23</v>
      </c>
      <c r="I79" s="68">
        <v>0.23</v>
      </c>
      <c r="J79" s="68">
        <v>0.23</v>
      </c>
    </row>
    <row r="80" spans="1:10" ht="13.5">
      <c r="A80" s="55" t="s">
        <v>28</v>
      </c>
      <c r="B80" s="56">
        <f t="shared" si="1"/>
        <v>6230.01</v>
      </c>
      <c r="C80" s="55" t="s">
        <v>36</v>
      </c>
      <c r="D80" s="57">
        <v>7150</v>
      </c>
      <c r="E80" s="67">
        <v>0.25</v>
      </c>
      <c r="F80" s="68">
        <v>0.25</v>
      </c>
      <c r="G80" s="68">
        <v>0.25</v>
      </c>
      <c r="H80" s="68">
        <v>0.24</v>
      </c>
      <c r="I80" s="68">
        <v>0.24</v>
      </c>
      <c r="J80" s="68">
        <v>0.24</v>
      </c>
    </row>
    <row r="81" spans="1:13" ht="13.5">
      <c r="A81" s="55" t="s">
        <v>28</v>
      </c>
      <c r="B81" s="56">
        <f t="shared" si="1"/>
        <v>7150.01</v>
      </c>
      <c r="C81" s="55" t="s">
        <v>36</v>
      </c>
      <c r="D81" s="57">
        <v>8240</v>
      </c>
      <c r="E81" s="67">
        <v>0.26</v>
      </c>
      <c r="F81" s="68">
        <v>0.26</v>
      </c>
      <c r="G81" s="68">
        <v>0.26</v>
      </c>
      <c r="H81" s="68">
        <v>0.26</v>
      </c>
      <c r="I81" s="68">
        <v>0.25</v>
      </c>
      <c r="J81" s="68">
        <v>0.25</v>
      </c>
    </row>
    <row r="82" spans="1:13" ht="13.5">
      <c r="A82" s="55" t="s">
        <v>28</v>
      </c>
      <c r="B82" s="56">
        <f t="shared" si="1"/>
        <v>8240.01</v>
      </c>
      <c r="C82" s="55" t="s">
        <v>36</v>
      </c>
      <c r="D82" s="57">
        <v>9115</v>
      </c>
      <c r="E82" s="67">
        <v>0.27</v>
      </c>
      <c r="F82" s="68">
        <v>0.27</v>
      </c>
      <c r="G82" s="68">
        <v>0.27</v>
      </c>
      <c r="H82" s="68">
        <v>0.27</v>
      </c>
      <c r="I82" s="68">
        <v>0.26</v>
      </c>
      <c r="J82" s="68">
        <v>0.26</v>
      </c>
    </row>
    <row r="83" spans="1:13" ht="13.5">
      <c r="A83" s="55" t="s">
        <v>28</v>
      </c>
      <c r="B83" s="56">
        <f t="shared" si="1"/>
        <v>9115.01</v>
      </c>
      <c r="C83" s="55" t="s">
        <v>36</v>
      </c>
      <c r="D83" s="57">
        <v>10200</v>
      </c>
      <c r="E83" s="67">
        <v>0.28000000000000003</v>
      </c>
      <c r="F83" s="68">
        <v>0.28000000000000003</v>
      </c>
      <c r="G83" s="68">
        <v>0.28000000000000003</v>
      </c>
      <c r="H83" s="68">
        <v>0.28000000000000003</v>
      </c>
      <c r="I83" s="68">
        <v>0.28000000000000003</v>
      </c>
      <c r="J83" s="68">
        <v>0.27</v>
      </c>
    </row>
    <row r="84" spans="1:13" ht="13.5">
      <c r="A84" s="55" t="s">
        <v>28</v>
      </c>
      <c r="B84" s="56">
        <f t="shared" si="1"/>
        <v>10200.01</v>
      </c>
      <c r="C84" s="55" t="s">
        <v>36</v>
      </c>
      <c r="D84" s="57">
        <v>13750</v>
      </c>
      <c r="E84" s="67">
        <v>0.28999999999999998</v>
      </c>
      <c r="F84" s="68">
        <v>0.28999999999999998</v>
      </c>
      <c r="G84" s="68">
        <v>0.28999999999999998</v>
      </c>
      <c r="H84" s="68">
        <v>0.28999999999999998</v>
      </c>
      <c r="I84" s="68">
        <v>0.28999999999999998</v>
      </c>
      <c r="J84" s="68">
        <v>0.28000000000000003</v>
      </c>
    </row>
    <row r="85" spans="1:13" ht="13.5">
      <c r="A85" s="61" t="s">
        <v>40</v>
      </c>
      <c r="B85" s="69">
        <f t="shared" si="1"/>
        <v>13750.01</v>
      </c>
      <c r="C85" s="61" t="s">
        <v>37</v>
      </c>
      <c r="D85" s="63">
        <v>13750</v>
      </c>
      <c r="E85" s="70">
        <v>0.3</v>
      </c>
      <c r="F85" s="71">
        <v>0.3</v>
      </c>
      <c r="G85" s="71">
        <v>0.3</v>
      </c>
      <c r="H85" s="71">
        <v>0.3</v>
      </c>
      <c r="I85" s="71">
        <v>0.3</v>
      </c>
      <c r="J85" s="71">
        <v>0.28999999999999998</v>
      </c>
    </row>
    <row r="86" spans="1:13" ht="13.5">
      <c r="B86" s="72"/>
      <c r="D86" s="48"/>
    </row>
    <row r="87" spans="1:13">
      <c r="B87" s="48"/>
      <c r="D87" s="48"/>
    </row>
    <row r="88" spans="1:13">
      <c r="A88" s="299" t="s">
        <v>30</v>
      </c>
      <c r="B88" s="299"/>
      <c r="C88" s="299"/>
      <c r="D88" s="299"/>
      <c r="E88" s="299"/>
      <c r="F88" s="299"/>
      <c r="G88" s="299"/>
      <c r="H88" s="299"/>
      <c r="I88" s="299"/>
      <c r="J88" s="299"/>
    </row>
    <row r="89" spans="1:13">
      <c r="M89" s="43"/>
    </row>
    <row r="90" spans="1:13">
      <c r="M90" s="43"/>
    </row>
    <row r="91" spans="1:13">
      <c r="A91" s="44"/>
      <c r="B91" s="45"/>
      <c r="C91" s="291" t="s">
        <v>41</v>
      </c>
      <c r="D91" s="291"/>
      <c r="E91" s="291"/>
      <c r="F91" s="291"/>
      <c r="G91" s="291"/>
      <c r="H91" s="291"/>
      <c r="I91" s="291"/>
      <c r="J91" s="291"/>
      <c r="M91" s="43"/>
    </row>
    <row r="92" spans="1:13">
      <c r="A92" s="44"/>
      <c r="B92" s="46"/>
      <c r="C92" s="291" t="s">
        <v>42</v>
      </c>
      <c r="D92" s="291"/>
      <c r="E92" s="291"/>
      <c r="F92" s="291"/>
      <c r="G92" s="291"/>
      <c r="H92" s="291"/>
      <c r="I92" s="291"/>
      <c r="J92" s="291"/>
      <c r="M92" s="43"/>
    </row>
    <row r="93" spans="1:13" ht="15.75">
      <c r="J93" s="47"/>
    </row>
    <row r="95" spans="1:13" ht="18.75" customHeight="1">
      <c r="A95" s="292" t="s">
        <v>33</v>
      </c>
      <c r="B95" s="293"/>
      <c r="C95" s="293"/>
      <c r="D95" s="294"/>
      <c r="E95" s="49" t="s">
        <v>34</v>
      </c>
      <c r="F95" s="50"/>
      <c r="G95" s="50"/>
      <c r="H95" s="50"/>
      <c r="I95" s="50"/>
      <c r="J95" s="51"/>
    </row>
    <row r="96" spans="1:13" ht="18" customHeight="1">
      <c r="A96" s="295"/>
      <c r="B96" s="296"/>
      <c r="C96" s="296"/>
      <c r="D96" s="297"/>
      <c r="E96" s="52">
        <v>0</v>
      </c>
      <c r="F96" s="66">
        <v>1</v>
      </c>
      <c r="G96" s="66">
        <v>2</v>
      </c>
      <c r="H96" s="66">
        <v>3</v>
      </c>
      <c r="I96" s="66">
        <v>4</v>
      </c>
      <c r="J96" s="54" t="s">
        <v>35</v>
      </c>
    </row>
    <row r="97" spans="1:10" ht="13.5">
      <c r="A97" s="55" t="s">
        <v>28</v>
      </c>
      <c r="B97" s="56">
        <v>0</v>
      </c>
      <c r="C97" s="55" t="s">
        <v>36</v>
      </c>
      <c r="D97" s="57">
        <v>556</v>
      </c>
      <c r="E97" s="73">
        <v>0</v>
      </c>
      <c r="F97" s="74">
        <v>0</v>
      </c>
      <c r="G97" s="75">
        <v>0</v>
      </c>
      <c r="H97" s="74">
        <v>0</v>
      </c>
      <c r="I97" s="75">
        <v>0</v>
      </c>
      <c r="J97" s="74">
        <v>0</v>
      </c>
    </row>
    <row r="98" spans="1:10" ht="13.5">
      <c r="A98" s="55" t="s">
        <v>28</v>
      </c>
      <c r="B98" s="56">
        <f>D97+0.01</f>
        <v>556.01</v>
      </c>
      <c r="C98" s="55" t="s">
        <v>36</v>
      </c>
      <c r="D98" s="57">
        <v>587</v>
      </c>
      <c r="E98" s="76">
        <v>0.01</v>
      </c>
      <c r="F98" s="67">
        <v>0</v>
      </c>
      <c r="G98" s="77">
        <v>0</v>
      </c>
      <c r="H98" s="67">
        <v>0</v>
      </c>
      <c r="I98" s="77">
        <v>0</v>
      </c>
      <c r="J98" s="67">
        <v>0</v>
      </c>
    </row>
    <row r="99" spans="1:10" ht="13.5">
      <c r="A99" s="55" t="s">
        <v>28</v>
      </c>
      <c r="B99" s="56">
        <f t="shared" ref="B99:B129" si="2">D98+0.01</f>
        <v>587.01</v>
      </c>
      <c r="C99" s="55" t="s">
        <v>36</v>
      </c>
      <c r="D99" s="57">
        <v>628</v>
      </c>
      <c r="E99" s="76">
        <v>0.02</v>
      </c>
      <c r="F99" s="67">
        <v>0.01</v>
      </c>
      <c r="G99" s="77">
        <v>0</v>
      </c>
      <c r="H99" s="67">
        <v>0</v>
      </c>
      <c r="I99" s="77">
        <v>0</v>
      </c>
      <c r="J99" s="67">
        <v>0</v>
      </c>
    </row>
    <row r="100" spans="1:10" ht="13.5">
      <c r="A100" s="55" t="s">
        <v>28</v>
      </c>
      <c r="B100" s="56">
        <f t="shared" si="2"/>
        <v>628.01</v>
      </c>
      <c r="C100" s="55" t="s">
        <v>36</v>
      </c>
      <c r="D100" s="57">
        <v>670</v>
      </c>
      <c r="E100" s="76">
        <v>0.03</v>
      </c>
      <c r="F100" s="67">
        <v>0.02</v>
      </c>
      <c r="G100" s="77">
        <v>0.01</v>
      </c>
      <c r="H100" s="67">
        <v>0</v>
      </c>
      <c r="I100" s="77">
        <v>0</v>
      </c>
      <c r="J100" s="67">
        <v>0</v>
      </c>
    </row>
    <row r="101" spans="1:10" ht="13.5">
      <c r="A101" s="55" t="s">
        <v>28</v>
      </c>
      <c r="B101" s="56">
        <f t="shared" si="2"/>
        <v>670.01</v>
      </c>
      <c r="C101" s="55" t="s">
        <v>36</v>
      </c>
      <c r="D101" s="57">
        <v>720</v>
      </c>
      <c r="E101" s="76">
        <v>0.04</v>
      </c>
      <c r="F101" s="67">
        <v>0.03</v>
      </c>
      <c r="G101" s="77">
        <v>0.02</v>
      </c>
      <c r="H101" s="67">
        <v>0.01</v>
      </c>
      <c r="I101" s="77">
        <v>0.01</v>
      </c>
      <c r="J101" s="67">
        <v>0</v>
      </c>
    </row>
    <row r="102" spans="1:10" ht="13.5">
      <c r="A102" s="55" t="s">
        <v>28</v>
      </c>
      <c r="B102" s="56">
        <f t="shared" si="2"/>
        <v>720.01</v>
      </c>
      <c r="C102" s="55" t="s">
        <v>36</v>
      </c>
      <c r="D102" s="57">
        <v>795</v>
      </c>
      <c r="E102" s="76">
        <v>0.05</v>
      </c>
      <c r="F102" s="67">
        <v>0.04</v>
      </c>
      <c r="G102" s="77">
        <v>0.03</v>
      </c>
      <c r="H102" s="67">
        <v>0.03</v>
      </c>
      <c r="I102" s="77">
        <v>0.02</v>
      </c>
      <c r="J102" s="67">
        <v>0.01</v>
      </c>
    </row>
    <row r="103" spans="1:10" ht="13.5">
      <c r="A103" s="55" t="s">
        <v>28</v>
      </c>
      <c r="B103" s="56">
        <f t="shared" si="2"/>
        <v>795.01</v>
      </c>
      <c r="C103" s="55" t="s">
        <v>36</v>
      </c>
      <c r="D103" s="57">
        <v>900</v>
      </c>
      <c r="E103" s="76">
        <v>0.06</v>
      </c>
      <c r="F103" s="67">
        <v>0.05</v>
      </c>
      <c r="G103" s="77">
        <v>0.05</v>
      </c>
      <c r="H103" s="67">
        <v>0.04</v>
      </c>
      <c r="I103" s="77">
        <v>0.03</v>
      </c>
      <c r="J103" s="67">
        <v>0.02</v>
      </c>
    </row>
    <row r="104" spans="1:10" ht="13.5">
      <c r="A104" s="55" t="s">
        <v>28</v>
      </c>
      <c r="B104" s="56">
        <f t="shared" si="2"/>
        <v>900.01</v>
      </c>
      <c r="C104" s="55" t="s">
        <v>36</v>
      </c>
      <c r="D104" s="57">
        <v>980</v>
      </c>
      <c r="E104" s="76">
        <v>7.0000000000000007E-2</v>
      </c>
      <c r="F104" s="67">
        <v>0.06</v>
      </c>
      <c r="G104" s="77">
        <v>0.06</v>
      </c>
      <c r="H104" s="67">
        <v>0.05</v>
      </c>
      <c r="I104" s="77">
        <v>0.04</v>
      </c>
      <c r="J104" s="67">
        <v>0.04</v>
      </c>
    </row>
    <row r="105" spans="1:10" ht="13.5">
      <c r="A105" s="55" t="s">
        <v>28</v>
      </c>
      <c r="B105" s="56">
        <f t="shared" si="2"/>
        <v>980.01</v>
      </c>
      <c r="C105" s="55" t="s">
        <v>36</v>
      </c>
      <c r="D105" s="57">
        <v>1040</v>
      </c>
      <c r="E105" s="76">
        <v>0.08</v>
      </c>
      <c r="F105" s="67">
        <v>7.0000000000000007E-2</v>
      </c>
      <c r="G105" s="77">
        <v>7.0000000000000007E-2</v>
      </c>
      <c r="H105" s="67">
        <v>0.06</v>
      </c>
      <c r="I105" s="77">
        <v>0.05</v>
      </c>
      <c r="J105" s="67">
        <v>0.05</v>
      </c>
    </row>
    <row r="106" spans="1:10" ht="13.5">
      <c r="A106" s="55" t="s">
        <v>28</v>
      </c>
      <c r="B106" s="56">
        <f t="shared" si="2"/>
        <v>1040.01</v>
      </c>
      <c r="C106" s="55" t="s">
        <v>36</v>
      </c>
      <c r="D106" s="57">
        <v>1115</v>
      </c>
      <c r="E106" s="76">
        <v>0.09</v>
      </c>
      <c r="F106" s="67">
        <v>0.08</v>
      </c>
      <c r="G106" s="77">
        <v>0.08</v>
      </c>
      <c r="H106" s="67">
        <v>7.0000000000000007E-2</v>
      </c>
      <c r="I106" s="77">
        <v>7.0000000000000007E-2</v>
      </c>
      <c r="J106" s="67">
        <v>0.06</v>
      </c>
    </row>
    <row r="107" spans="1:10" ht="13.5">
      <c r="A107" s="55" t="s">
        <v>28</v>
      </c>
      <c r="B107" s="56">
        <f t="shared" si="2"/>
        <v>1115.01</v>
      </c>
      <c r="C107" s="55" t="s">
        <v>36</v>
      </c>
      <c r="D107" s="57">
        <v>1195</v>
      </c>
      <c r="E107" s="76">
        <v>0.1</v>
      </c>
      <c r="F107" s="67">
        <v>0.09</v>
      </c>
      <c r="G107" s="77">
        <v>0.09</v>
      </c>
      <c r="H107" s="67">
        <v>0.08</v>
      </c>
      <c r="I107" s="77">
        <v>0.08</v>
      </c>
      <c r="J107" s="67">
        <v>7.0000000000000007E-2</v>
      </c>
    </row>
    <row r="108" spans="1:10" ht="13.5">
      <c r="A108" s="55" t="s">
        <v>28</v>
      </c>
      <c r="B108" s="56">
        <f t="shared" si="2"/>
        <v>1195.01</v>
      </c>
      <c r="C108" s="55" t="s">
        <v>36</v>
      </c>
      <c r="D108" s="57">
        <v>1290</v>
      </c>
      <c r="E108" s="76">
        <v>0.11</v>
      </c>
      <c r="F108" s="67">
        <v>0.11</v>
      </c>
      <c r="G108" s="77">
        <v>0.1</v>
      </c>
      <c r="H108" s="67">
        <v>0.1</v>
      </c>
      <c r="I108" s="77">
        <v>0.09</v>
      </c>
      <c r="J108" s="67">
        <v>0.09</v>
      </c>
    </row>
    <row r="109" spans="1:10" ht="13.5">
      <c r="A109" s="55" t="s">
        <v>28</v>
      </c>
      <c r="B109" s="56">
        <f t="shared" si="2"/>
        <v>1290.01</v>
      </c>
      <c r="C109" s="55" t="s">
        <v>36</v>
      </c>
      <c r="D109" s="57">
        <v>1390</v>
      </c>
      <c r="E109" s="76">
        <v>0.12</v>
      </c>
      <c r="F109" s="67">
        <v>0.12</v>
      </c>
      <c r="G109" s="77">
        <v>0.11</v>
      </c>
      <c r="H109" s="67">
        <v>0.11</v>
      </c>
      <c r="I109" s="77">
        <v>0.1</v>
      </c>
      <c r="J109" s="67">
        <v>0.1</v>
      </c>
    </row>
    <row r="110" spans="1:10" ht="13.5">
      <c r="A110" s="55" t="s">
        <v>28</v>
      </c>
      <c r="B110" s="56">
        <f t="shared" si="2"/>
        <v>1390.01</v>
      </c>
      <c r="C110" s="55" t="s">
        <v>36</v>
      </c>
      <c r="D110" s="57">
        <v>1525</v>
      </c>
      <c r="E110" s="76">
        <v>0.13</v>
      </c>
      <c r="F110" s="67">
        <v>0.13</v>
      </c>
      <c r="G110" s="77">
        <v>0.12</v>
      </c>
      <c r="H110" s="67">
        <v>0.12</v>
      </c>
      <c r="I110" s="77">
        <v>0.11</v>
      </c>
      <c r="J110" s="67">
        <v>0.11</v>
      </c>
    </row>
    <row r="111" spans="1:10" ht="13.5">
      <c r="A111" s="55" t="s">
        <v>28</v>
      </c>
      <c r="B111" s="56">
        <f t="shared" si="2"/>
        <v>1525.01</v>
      </c>
      <c r="C111" s="55" t="s">
        <v>36</v>
      </c>
      <c r="D111" s="57">
        <v>1670</v>
      </c>
      <c r="E111" s="76">
        <v>0.14000000000000001</v>
      </c>
      <c r="F111" s="67">
        <v>0.14000000000000001</v>
      </c>
      <c r="G111" s="77">
        <v>0.13</v>
      </c>
      <c r="H111" s="67">
        <v>0.13</v>
      </c>
      <c r="I111" s="77">
        <v>0.13</v>
      </c>
      <c r="J111" s="67">
        <v>0.12</v>
      </c>
    </row>
    <row r="112" spans="1:10" ht="13.5">
      <c r="A112" s="55" t="s">
        <v>28</v>
      </c>
      <c r="B112" s="56">
        <f t="shared" si="2"/>
        <v>1670.01</v>
      </c>
      <c r="C112" s="55" t="s">
        <v>36</v>
      </c>
      <c r="D112" s="57">
        <v>1825</v>
      </c>
      <c r="E112" s="76">
        <v>0.15</v>
      </c>
      <c r="F112" s="67">
        <v>0.15</v>
      </c>
      <c r="G112" s="77">
        <v>0.14000000000000001</v>
      </c>
      <c r="H112" s="67">
        <v>0.14000000000000001</v>
      </c>
      <c r="I112" s="77">
        <v>0.14000000000000001</v>
      </c>
      <c r="J112" s="67">
        <v>0.13</v>
      </c>
    </row>
    <row r="113" spans="1:10" ht="13.5">
      <c r="A113" s="55" t="s">
        <v>28</v>
      </c>
      <c r="B113" s="56">
        <f t="shared" si="2"/>
        <v>1825.01</v>
      </c>
      <c r="C113" s="55" t="s">
        <v>36</v>
      </c>
      <c r="D113" s="57">
        <v>1930</v>
      </c>
      <c r="E113" s="76">
        <v>0.16</v>
      </c>
      <c r="F113" s="67">
        <v>0.16</v>
      </c>
      <c r="G113" s="77">
        <v>0.15</v>
      </c>
      <c r="H113" s="67">
        <v>0.15</v>
      </c>
      <c r="I113" s="77">
        <v>0.15</v>
      </c>
      <c r="J113" s="67">
        <v>0.14000000000000001</v>
      </c>
    </row>
    <row r="114" spans="1:10" ht="13.5">
      <c r="A114" s="55" t="s">
        <v>28</v>
      </c>
      <c r="B114" s="56">
        <f t="shared" si="2"/>
        <v>1930.01</v>
      </c>
      <c r="C114" s="55" t="s">
        <v>36</v>
      </c>
      <c r="D114" s="57">
        <v>2040</v>
      </c>
      <c r="E114" s="76">
        <v>0.17</v>
      </c>
      <c r="F114" s="67">
        <v>0.17</v>
      </c>
      <c r="G114" s="77">
        <v>0.16</v>
      </c>
      <c r="H114" s="67">
        <v>0.16</v>
      </c>
      <c r="I114" s="77">
        <v>0.16</v>
      </c>
      <c r="J114" s="67">
        <v>0.16</v>
      </c>
    </row>
    <row r="115" spans="1:10" ht="13.5">
      <c r="A115" s="55" t="s">
        <v>28</v>
      </c>
      <c r="B115" s="56">
        <f t="shared" si="2"/>
        <v>2040.01</v>
      </c>
      <c r="C115" s="55" t="s">
        <v>36</v>
      </c>
      <c r="D115" s="57">
        <v>2165</v>
      </c>
      <c r="E115" s="76">
        <v>0.18</v>
      </c>
      <c r="F115" s="67">
        <v>0.18</v>
      </c>
      <c r="G115" s="77">
        <v>0.17</v>
      </c>
      <c r="H115" s="67">
        <v>0.17</v>
      </c>
      <c r="I115" s="77">
        <v>0.17</v>
      </c>
      <c r="J115" s="67">
        <v>0.17</v>
      </c>
    </row>
    <row r="116" spans="1:10" ht="13.5">
      <c r="A116" s="55" t="s">
        <v>28</v>
      </c>
      <c r="B116" s="56">
        <f t="shared" si="2"/>
        <v>2165.0100000000002</v>
      </c>
      <c r="C116" s="55" t="s">
        <v>36</v>
      </c>
      <c r="D116" s="57">
        <v>2310</v>
      </c>
      <c r="E116" s="76">
        <v>0.19</v>
      </c>
      <c r="F116" s="67">
        <v>0.19</v>
      </c>
      <c r="G116" s="77">
        <v>0.19</v>
      </c>
      <c r="H116" s="67">
        <v>0.18</v>
      </c>
      <c r="I116" s="77">
        <v>0.18</v>
      </c>
      <c r="J116" s="67">
        <v>0.18</v>
      </c>
    </row>
    <row r="117" spans="1:10" ht="13.5">
      <c r="A117" s="55" t="s">
        <v>28</v>
      </c>
      <c r="B117" s="56">
        <f t="shared" si="2"/>
        <v>2310.0100000000002</v>
      </c>
      <c r="C117" s="55" t="s">
        <v>36</v>
      </c>
      <c r="D117" s="57">
        <v>2475</v>
      </c>
      <c r="E117" s="76">
        <v>0.2</v>
      </c>
      <c r="F117" s="67">
        <v>0.2</v>
      </c>
      <c r="G117" s="77">
        <v>0.2</v>
      </c>
      <c r="H117" s="67">
        <v>0.19</v>
      </c>
      <c r="I117" s="77">
        <v>0.19</v>
      </c>
      <c r="J117" s="67">
        <v>0.19</v>
      </c>
    </row>
    <row r="118" spans="1:10" ht="13.5">
      <c r="A118" s="55" t="s">
        <v>28</v>
      </c>
      <c r="B118" s="56">
        <f t="shared" si="2"/>
        <v>2475.0100000000002</v>
      </c>
      <c r="C118" s="55" t="s">
        <v>36</v>
      </c>
      <c r="D118" s="57">
        <v>2700</v>
      </c>
      <c r="E118" s="76">
        <v>0.21</v>
      </c>
      <c r="F118" s="67">
        <v>0.21</v>
      </c>
      <c r="G118" s="77">
        <v>0.21</v>
      </c>
      <c r="H118" s="67">
        <v>0.2</v>
      </c>
      <c r="I118" s="77">
        <v>0.2</v>
      </c>
      <c r="J118" s="67">
        <v>0.2</v>
      </c>
    </row>
    <row r="119" spans="1:10" ht="13.5">
      <c r="A119" s="55" t="s">
        <v>28</v>
      </c>
      <c r="B119" s="56">
        <f t="shared" si="2"/>
        <v>2700.01</v>
      </c>
      <c r="C119" s="55" t="s">
        <v>36</v>
      </c>
      <c r="D119" s="57">
        <v>3030</v>
      </c>
      <c r="E119" s="76">
        <v>0.22</v>
      </c>
      <c r="F119" s="67">
        <v>0.22</v>
      </c>
      <c r="G119" s="77">
        <v>0.22</v>
      </c>
      <c r="H119" s="67">
        <v>0.21</v>
      </c>
      <c r="I119" s="77">
        <v>0.21</v>
      </c>
      <c r="J119" s="67">
        <v>0.21</v>
      </c>
    </row>
    <row r="120" spans="1:10" ht="13.5">
      <c r="A120" s="55" t="s">
        <v>28</v>
      </c>
      <c r="B120" s="56">
        <f t="shared" si="2"/>
        <v>3030.01</v>
      </c>
      <c r="C120" s="55" t="s">
        <v>36</v>
      </c>
      <c r="D120" s="57">
        <v>3450</v>
      </c>
      <c r="E120" s="76">
        <v>0.23</v>
      </c>
      <c r="F120" s="67">
        <v>0.23</v>
      </c>
      <c r="G120" s="77">
        <v>0.23</v>
      </c>
      <c r="H120" s="67">
        <v>0.22</v>
      </c>
      <c r="I120" s="77">
        <v>0.22</v>
      </c>
      <c r="J120" s="67">
        <v>0.22</v>
      </c>
    </row>
    <row r="121" spans="1:10" ht="13.5">
      <c r="A121" s="55" t="s">
        <v>28</v>
      </c>
      <c r="B121" s="56">
        <f t="shared" si="2"/>
        <v>3450.01</v>
      </c>
      <c r="C121" s="55" t="s">
        <v>36</v>
      </c>
      <c r="D121" s="57">
        <v>4020</v>
      </c>
      <c r="E121" s="76">
        <v>0.24</v>
      </c>
      <c r="F121" s="67">
        <v>0.24</v>
      </c>
      <c r="G121" s="77">
        <v>0.24</v>
      </c>
      <c r="H121" s="67">
        <v>0.24</v>
      </c>
      <c r="I121" s="77">
        <v>0.23</v>
      </c>
      <c r="J121" s="67">
        <v>0.23</v>
      </c>
    </row>
    <row r="122" spans="1:10" ht="13.5">
      <c r="A122" s="55" t="s">
        <v>28</v>
      </c>
      <c r="B122" s="56">
        <f t="shared" si="2"/>
        <v>4020.01</v>
      </c>
      <c r="C122" s="55" t="s">
        <v>36</v>
      </c>
      <c r="D122" s="57">
        <v>4540</v>
      </c>
      <c r="E122" s="76">
        <v>0.25</v>
      </c>
      <c r="F122" s="67">
        <v>0.25</v>
      </c>
      <c r="G122" s="77">
        <v>0.25</v>
      </c>
      <c r="H122" s="67">
        <v>0.25</v>
      </c>
      <c r="I122" s="77">
        <v>0.24</v>
      </c>
      <c r="J122" s="67">
        <v>0.24</v>
      </c>
    </row>
    <row r="123" spans="1:10" ht="13.5">
      <c r="A123" s="55" t="s">
        <v>28</v>
      </c>
      <c r="B123" s="56">
        <f t="shared" si="2"/>
        <v>4540.01</v>
      </c>
      <c r="C123" s="55" t="s">
        <v>36</v>
      </c>
      <c r="D123" s="57">
        <v>5070</v>
      </c>
      <c r="E123" s="76">
        <v>0.26</v>
      </c>
      <c r="F123" s="67">
        <v>0.26</v>
      </c>
      <c r="G123" s="77">
        <v>0.26</v>
      </c>
      <c r="H123" s="67">
        <v>0.26</v>
      </c>
      <c r="I123" s="77">
        <v>0.26</v>
      </c>
      <c r="J123" s="67">
        <v>0.25</v>
      </c>
    </row>
    <row r="124" spans="1:10" ht="13.5">
      <c r="A124" s="55" t="s">
        <v>28</v>
      </c>
      <c r="B124" s="56">
        <f t="shared" si="2"/>
        <v>5070.01</v>
      </c>
      <c r="C124" s="55" t="s">
        <v>36</v>
      </c>
      <c r="D124" s="57">
        <v>5740</v>
      </c>
      <c r="E124" s="76">
        <v>0.27</v>
      </c>
      <c r="F124" s="67">
        <v>0.27</v>
      </c>
      <c r="G124" s="77">
        <v>0.27</v>
      </c>
      <c r="H124" s="67">
        <v>0.27</v>
      </c>
      <c r="I124" s="77">
        <v>0.27</v>
      </c>
      <c r="J124" s="67">
        <v>0.26</v>
      </c>
    </row>
    <row r="125" spans="1:10" ht="13.5">
      <c r="A125" s="55" t="s">
        <v>28</v>
      </c>
      <c r="B125" s="56">
        <f t="shared" si="2"/>
        <v>5740.01</v>
      </c>
      <c r="C125" s="55" t="s">
        <v>36</v>
      </c>
      <c r="D125" s="57">
        <v>6600</v>
      </c>
      <c r="E125" s="76">
        <v>0.28000000000000003</v>
      </c>
      <c r="F125" s="67">
        <v>0.28000000000000003</v>
      </c>
      <c r="G125" s="77">
        <v>0.28000000000000003</v>
      </c>
      <c r="H125" s="67">
        <v>0.28000000000000003</v>
      </c>
      <c r="I125" s="77">
        <v>0.28000000000000003</v>
      </c>
      <c r="J125" s="67">
        <v>0.28000000000000003</v>
      </c>
    </row>
    <row r="126" spans="1:10" ht="13.5">
      <c r="A126" s="55" t="s">
        <v>28</v>
      </c>
      <c r="B126" s="56">
        <f t="shared" si="2"/>
        <v>6600.01</v>
      </c>
      <c r="C126" s="55" t="s">
        <v>36</v>
      </c>
      <c r="D126" s="57">
        <v>7790</v>
      </c>
      <c r="E126" s="76">
        <v>0.28999999999999998</v>
      </c>
      <c r="F126" s="67">
        <v>0.28999999999999998</v>
      </c>
      <c r="G126" s="77">
        <v>0.28999999999999998</v>
      </c>
      <c r="H126" s="67">
        <v>0.28999999999999998</v>
      </c>
      <c r="I126" s="77">
        <v>0.28999999999999998</v>
      </c>
      <c r="J126" s="67">
        <v>0.28999999999999998</v>
      </c>
    </row>
    <row r="127" spans="1:10" ht="13.5">
      <c r="A127" s="55" t="s">
        <v>28</v>
      </c>
      <c r="B127" s="56">
        <f t="shared" si="2"/>
        <v>7790.01</v>
      </c>
      <c r="C127" s="55" t="s">
        <v>36</v>
      </c>
      <c r="D127" s="57">
        <v>9380</v>
      </c>
      <c r="E127" s="76">
        <v>0.30499999999999999</v>
      </c>
      <c r="F127" s="67">
        <v>0.30499999999999999</v>
      </c>
      <c r="G127" s="77">
        <v>0.30499999999999999</v>
      </c>
      <c r="H127" s="67">
        <v>0.30499999999999999</v>
      </c>
      <c r="I127" s="77">
        <v>0.30499999999999999</v>
      </c>
      <c r="J127" s="67">
        <v>0.30499999999999999</v>
      </c>
    </row>
    <row r="128" spans="1:10" ht="13.5">
      <c r="A128" s="55" t="s">
        <v>28</v>
      </c>
      <c r="B128" s="56">
        <f t="shared" si="2"/>
        <v>9380.01</v>
      </c>
      <c r="C128" s="55" t="s">
        <v>36</v>
      </c>
      <c r="D128" s="57">
        <v>11070</v>
      </c>
      <c r="E128" s="76">
        <v>0.315</v>
      </c>
      <c r="F128" s="67">
        <v>0.315</v>
      </c>
      <c r="G128" s="77">
        <v>0.315</v>
      </c>
      <c r="H128" s="67">
        <v>0.315</v>
      </c>
      <c r="I128" s="77">
        <v>0.315</v>
      </c>
      <c r="J128" s="67">
        <v>0.315</v>
      </c>
    </row>
    <row r="129" spans="1:13" ht="13.5">
      <c r="A129" s="61" t="s">
        <v>37</v>
      </c>
      <c r="B129" s="69">
        <f t="shared" si="2"/>
        <v>11070.01</v>
      </c>
      <c r="C129" s="61" t="s">
        <v>37</v>
      </c>
      <c r="D129" s="63">
        <v>11070</v>
      </c>
      <c r="E129" s="78">
        <v>0.32500000000000001</v>
      </c>
      <c r="F129" s="70">
        <v>0.32500000000000001</v>
      </c>
      <c r="G129" s="79">
        <v>0.32500000000000001</v>
      </c>
      <c r="H129" s="70">
        <v>0.32500000000000001</v>
      </c>
      <c r="I129" s="79">
        <v>0.32500000000000001</v>
      </c>
      <c r="J129" s="70">
        <v>0.32500000000000001</v>
      </c>
    </row>
    <row r="130" spans="1:13">
      <c r="B130" s="60"/>
      <c r="D130" s="60"/>
    </row>
    <row r="131" spans="1:13">
      <c r="B131" s="60"/>
      <c r="D131" s="60"/>
    </row>
    <row r="132" spans="1:13">
      <c r="A132" s="299" t="s">
        <v>30</v>
      </c>
      <c r="B132" s="299"/>
      <c r="C132" s="299"/>
      <c r="D132" s="299"/>
      <c r="E132" s="299"/>
      <c r="F132" s="299"/>
      <c r="G132" s="299"/>
      <c r="H132" s="299"/>
      <c r="I132" s="299"/>
      <c r="J132" s="299"/>
    </row>
    <row r="133" spans="1:13">
      <c r="A133" s="80"/>
      <c r="B133" s="48"/>
      <c r="C133" s="80"/>
      <c r="D133" s="48"/>
    </row>
    <row r="134" spans="1:13">
      <c r="B134" s="48"/>
      <c r="D134" s="48"/>
    </row>
    <row r="135" spans="1:13">
      <c r="A135" s="44"/>
      <c r="B135" s="45"/>
      <c r="C135" s="291" t="s">
        <v>43</v>
      </c>
      <c r="D135" s="291"/>
      <c r="E135" s="291"/>
      <c r="F135" s="291"/>
      <c r="G135" s="291"/>
      <c r="H135" s="291"/>
      <c r="I135" s="291"/>
      <c r="J135" s="291"/>
      <c r="M135" s="43"/>
    </row>
    <row r="136" spans="1:13">
      <c r="A136" s="44"/>
      <c r="B136" s="46"/>
      <c r="C136" s="291" t="s">
        <v>44</v>
      </c>
      <c r="D136" s="291"/>
      <c r="E136" s="291"/>
      <c r="F136" s="291"/>
      <c r="G136" s="291"/>
      <c r="H136" s="291"/>
      <c r="I136" s="291"/>
      <c r="J136" s="291"/>
      <c r="M136" s="43"/>
    </row>
    <row r="137" spans="1:13" ht="15.75">
      <c r="B137" s="48"/>
      <c r="D137" s="48"/>
      <c r="J137" s="47"/>
    </row>
    <row r="138" spans="1:13">
      <c r="B138" s="48"/>
      <c r="D138" s="48"/>
    </row>
    <row r="139" spans="1:13" ht="12.75" customHeight="1">
      <c r="A139" s="292" t="s">
        <v>33</v>
      </c>
      <c r="B139" s="293"/>
      <c r="C139" s="293"/>
      <c r="D139" s="294"/>
      <c r="E139" s="49" t="s">
        <v>34</v>
      </c>
      <c r="F139" s="50"/>
      <c r="G139" s="50"/>
      <c r="H139" s="50"/>
      <c r="I139" s="50"/>
      <c r="J139" s="51"/>
    </row>
    <row r="140" spans="1:13">
      <c r="A140" s="295"/>
      <c r="B140" s="296"/>
      <c r="C140" s="296"/>
      <c r="D140" s="297"/>
      <c r="E140" s="81">
        <v>0</v>
      </c>
      <c r="F140" s="66">
        <v>1</v>
      </c>
      <c r="G140" s="66">
        <v>2</v>
      </c>
      <c r="H140" s="66">
        <v>3</v>
      </c>
      <c r="I140" s="66">
        <v>4</v>
      </c>
      <c r="J140" s="54" t="s">
        <v>35</v>
      </c>
    </row>
    <row r="141" spans="1:13" ht="13.5">
      <c r="A141" s="55" t="s">
        <v>28</v>
      </c>
      <c r="B141" s="56">
        <v>0</v>
      </c>
      <c r="C141" s="55" t="s">
        <v>36</v>
      </c>
      <c r="D141" s="57">
        <v>1420</v>
      </c>
      <c r="E141" s="67">
        <v>0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</row>
    <row r="142" spans="1:13" ht="13.5">
      <c r="A142" s="55" t="s">
        <v>28</v>
      </c>
      <c r="B142" s="56">
        <f>D141+0.01</f>
        <v>1420.01</v>
      </c>
      <c r="C142" s="55" t="s">
        <v>36</v>
      </c>
      <c r="D142" s="57">
        <v>1600</v>
      </c>
      <c r="E142" s="67">
        <v>0.01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</row>
    <row r="143" spans="1:13" ht="13.5">
      <c r="A143" s="55" t="s">
        <v>28</v>
      </c>
      <c r="B143" s="56">
        <f t="shared" ref="B143:B167" si="3">D142+0.01</f>
        <v>1600.01</v>
      </c>
      <c r="C143" s="55" t="s">
        <v>36</v>
      </c>
      <c r="D143" s="57">
        <v>1910</v>
      </c>
      <c r="E143" s="67">
        <v>0.02</v>
      </c>
      <c r="F143" s="68">
        <v>0.01</v>
      </c>
      <c r="G143" s="68">
        <v>0.01</v>
      </c>
      <c r="H143" s="68">
        <v>0</v>
      </c>
      <c r="I143" s="68">
        <v>0</v>
      </c>
      <c r="J143" s="68">
        <v>0</v>
      </c>
    </row>
    <row r="144" spans="1:13" ht="13.5">
      <c r="A144" s="55" t="s">
        <v>28</v>
      </c>
      <c r="B144" s="56">
        <f t="shared" si="3"/>
        <v>1910.01</v>
      </c>
      <c r="C144" s="55" t="s">
        <v>36</v>
      </c>
      <c r="D144" s="57">
        <v>2030</v>
      </c>
      <c r="E144" s="67">
        <v>0.03</v>
      </c>
      <c r="F144" s="68">
        <v>0.02</v>
      </c>
      <c r="G144" s="68">
        <v>0.02</v>
      </c>
      <c r="H144" s="68">
        <v>0.01</v>
      </c>
      <c r="I144" s="68">
        <v>0.01</v>
      </c>
      <c r="J144" s="68">
        <v>0</v>
      </c>
    </row>
    <row r="145" spans="1:10" ht="13.5">
      <c r="A145" s="55" t="s">
        <v>28</v>
      </c>
      <c r="B145" s="56">
        <f t="shared" si="3"/>
        <v>2030.01</v>
      </c>
      <c r="C145" s="55" t="s">
        <v>36</v>
      </c>
      <c r="D145" s="57">
        <v>2160</v>
      </c>
      <c r="E145" s="67">
        <v>0.05</v>
      </c>
      <c r="F145" s="68">
        <v>0.03</v>
      </c>
      <c r="G145" s="68">
        <v>0.03</v>
      </c>
      <c r="H145" s="68">
        <v>0.03</v>
      </c>
      <c r="I145" s="68">
        <v>0.02</v>
      </c>
      <c r="J145" s="68">
        <v>0.02</v>
      </c>
    </row>
    <row r="146" spans="1:10" ht="13.5">
      <c r="A146" s="55" t="s">
        <v>28</v>
      </c>
      <c r="B146" s="56">
        <f t="shared" si="3"/>
        <v>2160.0100000000002</v>
      </c>
      <c r="C146" s="55" t="s">
        <v>36</v>
      </c>
      <c r="D146" s="57">
        <v>2260</v>
      </c>
      <c r="E146" s="67">
        <v>7.0000000000000007E-2</v>
      </c>
      <c r="F146" s="68">
        <v>0.05</v>
      </c>
      <c r="G146" s="68">
        <v>0.04</v>
      </c>
      <c r="H146" s="68">
        <v>0.04</v>
      </c>
      <c r="I146" s="68">
        <v>0.03</v>
      </c>
      <c r="J146" s="68">
        <v>0.03</v>
      </c>
    </row>
    <row r="147" spans="1:10" ht="13.5">
      <c r="A147" s="55" t="s">
        <v>28</v>
      </c>
      <c r="B147" s="56">
        <f t="shared" si="3"/>
        <v>2260.0100000000002</v>
      </c>
      <c r="C147" s="55" t="s">
        <v>36</v>
      </c>
      <c r="D147" s="57">
        <v>2420</v>
      </c>
      <c r="E147" s="67">
        <v>0.09</v>
      </c>
      <c r="F147" s="68">
        <v>7.0000000000000007E-2</v>
      </c>
      <c r="G147" s="68">
        <v>0.06</v>
      </c>
      <c r="H147" s="68">
        <v>0.06</v>
      </c>
      <c r="I147" s="68">
        <v>0.05</v>
      </c>
      <c r="J147" s="68">
        <v>0.04</v>
      </c>
    </row>
    <row r="148" spans="1:10" ht="13.5">
      <c r="A148" s="55" t="s">
        <v>28</v>
      </c>
      <c r="B148" s="56">
        <f t="shared" si="3"/>
        <v>2420.0100000000002</v>
      </c>
      <c r="C148" s="55" t="s">
        <v>36</v>
      </c>
      <c r="D148" s="57">
        <v>2500</v>
      </c>
      <c r="E148" s="67">
        <v>0.1</v>
      </c>
      <c r="F148" s="68">
        <v>0.09</v>
      </c>
      <c r="G148" s="68">
        <v>0.08</v>
      </c>
      <c r="H148" s="68">
        <v>0.08</v>
      </c>
      <c r="I148" s="68">
        <v>0.06</v>
      </c>
      <c r="J148" s="68">
        <v>0.06</v>
      </c>
    </row>
    <row r="149" spans="1:10" ht="13.5">
      <c r="A149" s="55" t="s">
        <v>28</v>
      </c>
      <c r="B149" s="56">
        <f t="shared" si="3"/>
        <v>2500.0100000000002</v>
      </c>
      <c r="C149" s="55" t="s">
        <v>36</v>
      </c>
      <c r="D149" s="57">
        <v>2600</v>
      </c>
      <c r="E149" s="67">
        <v>0.11</v>
      </c>
      <c r="F149" s="68">
        <v>0.1</v>
      </c>
      <c r="G149" s="68">
        <v>0.09</v>
      </c>
      <c r="H149" s="68">
        <v>0.09</v>
      </c>
      <c r="I149" s="68">
        <v>0.08</v>
      </c>
      <c r="J149" s="68">
        <v>0.08</v>
      </c>
    </row>
    <row r="150" spans="1:10" ht="13.5">
      <c r="A150" s="55" t="s">
        <v>28</v>
      </c>
      <c r="B150" s="56">
        <f t="shared" si="3"/>
        <v>2600.0100000000002</v>
      </c>
      <c r="C150" s="55" t="s">
        <v>36</v>
      </c>
      <c r="D150" s="57">
        <v>2860</v>
      </c>
      <c r="E150" s="67">
        <v>0.12</v>
      </c>
      <c r="F150" s="68">
        <v>0.11</v>
      </c>
      <c r="G150" s="68">
        <v>0.1</v>
      </c>
      <c r="H150" s="68">
        <v>0.1</v>
      </c>
      <c r="I150" s="68">
        <v>0.1</v>
      </c>
      <c r="J150" s="68">
        <v>0.1</v>
      </c>
    </row>
    <row r="151" spans="1:10" ht="13.5">
      <c r="A151" s="55" t="s">
        <v>28</v>
      </c>
      <c r="B151" s="56">
        <f t="shared" si="3"/>
        <v>2860.01</v>
      </c>
      <c r="C151" s="55" t="s">
        <v>36</v>
      </c>
      <c r="D151" s="57">
        <v>3170</v>
      </c>
      <c r="E151" s="67">
        <v>0.13</v>
      </c>
      <c r="F151" s="68">
        <v>0.12</v>
      </c>
      <c r="G151" s="68">
        <v>0.11</v>
      </c>
      <c r="H151" s="68">
        <v>0.11</v>
      </c>
      <c r="I151" s="68">
        <v>0.11</v>
      </c>
      <c r="J151" s="68">
        <v>0.11</v>
      </c>
    </row>
    <row r="152" spans="1:10" ht="13.5">
      <c r="A152" s="55" t="s">
        <v>28</v>
      </c>
      <c r="B152" s="56">
        <f t="shared" si="3"/>
        <v>3170.01</v>
      </c>
      <c r="C152" s="55" t="s">
        <v>36</v>
      </c>
      <c r="D152" s="57">
        <v>3500</v>
      </c>
      <c r="E152" s="67">
        <v>0.14000000000000001</v>
      </c>
      <c r="F152" s="68">
        <v>0.13</v>
      </c>
      <c r="G152" s="68">
        <v>0.12</v>
      </c>
      <c r="H152" s="68">
        <v>0.12</v>
      </c>
      <c r="I152" s="68">
        <v>0.12</v>
      </c>
      <c r="J152" s="68">
        <v>0.12</v>
      </c>
    </row>
    <row r="153" spans="1:10" ht="13.5">
      <c r="A153" s="55" t="s">
        <v>28</v>
      </c>
      <c r="B153" s="56">
        <f t="shared" si="3"/>
        <v>3500.01</v>
      </c>
      <c r="C153" s="55" t="s">
        <v>36</v>
      </c>
      <c r="D153" s="57">
        <v>3630</v>
      </c>
      <c r="E153" s="67">
        <v>0.15</v>
      </c>
      <c r="F153" s="68">
        <v>0.14000000000000001</v>
      </c>
      <c r="G153" s="68">
        <v>0.14000000000000001</v>
      </c>
      <c r="H153" s="68">
        <v>0.13</v>
      </c>
      <c r="I153" s="68">
        <v>0.13</v>
      </c>
      <c r="J153" s="68">
        <v>0.13</v>
      </c>
    </row>
    <row r="154" spans="1:10" ht="13.5">
      <c r="A154" s="55" t="s">
        <v>28</v>
      </c>
      <c r="B154" s="56">
        <f t="shared" si="3"/>
        <v>3630.01</v>
      </c>
      <c r="C154" s="55" t="s">
        <v>36</v>
      </c>
      <c r="D154" s="57">
        <v>3840</v>
      </c>
      <c r="E154" s="67">
        <v>0.16</v>
      </c>
      <c r="F154" s="68">
        <v>0.15</v>
      </c>
      <c r="G154" s="68">
        <v>0.15</v>
      </c>
      <c r="H154" s="68">
        <v>0.14000000000000001</v>
      </c>
      <c r="I154" s="68">
        <v>0.14000000000000001</v>
      </c>
      <c r="J154" s="68">
        <v>0.14000000000000001</v>
      </c>
    </row>
    <row r="155" spans="1:10" ht="13.5">
      <c r="A155" s="55" t="s">
        <v>28</v>
      </c>
      <c r="B155" s="56">
        <f t="shared" si="3"/>
        <v>3840.01</v>
      </c>
      <c r="C155" s="55" t="s">
        <v>36</v>
      </c>
      <c r="D155" s="57">
        <v>4250</v>
      </c>
      <c r="E155" s="67">
        <v>0.17</v>
      </c>
      <c r="F155" s="68">
        <v>0.16</v>
      </c>
      <c r="G155" s="68">
        <v>0.16</v>
      </c>
      <c r="H155" s="68">
        <v>0.15</v>
      </c>
      <c r="I155" s="68">
        <v>0.15</v>
      </c>
      <c r="J155" s="68">
        <v>0.15</v>
      </c>
    </row>
    <row r="156" spans="1:10" ht="13.5">
      <c r="A156" s="55" t="s">
        <v>28</v>
      </c>
      <c r="B156" s="56">
        <f t="shared" si="3"/>
        <v>4250.01</v>
      </c>
      <c r="C156" s="55" t="s">
        <v>36</v>
      </c>
      <c r="D156" s="57">
        <v>4510</v>
      </c>
      <c r="E156" s="67">
        <v>0.18</v>
      </c>
      <c r="F156" s="68">
        <v>0.17</v>
      </c>
      <c r="G156" s="68">
        <v>0.17</v>
      </c>
      <c r="H156" s="68">
        <v>0.16</v>
      </c>
      <c r="I156" s="68">
        <v>0.16</v>
      </c>
      <c r="J156" s="68">
        <v>0.16</v>
      </c>
    </row>
    <row r="157" spans="1:10" ht="13.5">
      <c r="A157" s="55" t="s">
        <v>28</v>
      </c>
      <c r="B157" s="56">
        <f t="shared" si="3"/>
        <v>4510.01</v>
      </c>
      <c r="C157" s="55" t="s">
        <v>36</v>
      </c>
      <c r="D157" s="57">
        <v>4800</v>
      </c>
      <c r="E157" s="67">
        <v>0.19</v>
      </c>
      <c r="F157" s="68">
        <v>0.18</v>
      </c>
      <c r="G157" s="68">
        <v>0.18</v>
      </c>
      <c r="H157" s="68">
        <v>0.17</v>
      </c>
      <c r="I157" s="68">
        <v>0.17</v>
      </c>
      <c r="J157" s="68">
        <v>0.17</v>
      </c>
    </row>
    <row r="158" spans="1:10" ht="13.5">
      <c r="A158" s="55" t="s">
        <v>28</v>
      </c>
      <c r="B158" s="56">
        <f t="shared" si="3"/>
        <v>4800.01</v>
      </c>
      <c r="C158" s="55" t="s">
        <v>36</v>
      </c>
      <c r="D158" s="57">
        <v>5080</v>
      </c>
      <c r="E158" s="67">
        <v>0.2</v>
      </c>
      <c r="F158" s="68">
        <v>0.19</v>
      </c>
      <c r="G158" s="68">
        <v>0.19</v>
      </c>
      <c r="H158" s="68">
        <v>0.18</v>
      </c>
      <c r="I158" s="68">
        <v>0.18</v>
      </c>
      <c r="J158" s="68">
        <v>0.18</v>
      </c>
    </row>
    <row r="159" spans="1:10" ht="13.5">
      <c r="A159" s="55" t="s">
        <v>28</v>
      </c>
      <c r="B159" s="56">
        <f t="shared" si="3"/>
        <v>5080.01</v>
      </c>
      <c r="C159" s="55" t="s">
        <v>36</v>
      </c>
      <c r="D159" s="57">
        <v>5500</v>
      </c>
      <c r="E159" s="67">
        <v>0.21</v>
      </c>
      <c r="F159" s="68">
        <v>0.2</v>
      </c>
      <c r="G159" s="68">
        <v>0.2</v>
      </c>
      <c r="H159" s="68">
        <v>0.2</v>
      </c>
      <c r="I159" s="68">
        <v>0.19</v>
      </c>
      <c r="J159" s="68">
        <v>0.19</v>
      </c>
    </row>
    <row r="160" spans="1:10" ht="13.5">
      <c r="A160" s="55" t="s">
        <v>28</v>
      </c>
      <c r="B160" s="56">
        <f t="shared" si="3"/>
        <v>5500.01</v>
      </c>
      <c r="C160" s="55" t="s">
        <v>36</v>
      </c>
      <c r="D160" s="57">
        <v>5920</v>
      </c>
      <c r="E160" s="67">
        <v>0.22</v>
      </c>
      <c r="F160" s="68">
        <v>0.21</v>
      </c>
      <c r="G160" s="68">
        <v>0.21</v>
      </c>
      <c r="H160" s="68">
        <v>0.21</v>
      </c>
      <c r="I160" s="68">
        <v>0.2</v>
      </c>
      <c r="J160" s="68">
        <v>0.2</v>
      </c>
    </row>
    <row r="161" spans="1:13" ht="13.5">
      <c r="A161" s="55" t="s">
        <v>28</v>
      </c>
      <c r="B161" s="56">
        <f t="shared" si="3"/>
        <v>5920.01</v>
      </c>
      <c r="C161" s="55" t="s">
        <v>36</v>
      </c>
      <c r="D161" s="57">
        <v>6640</v>
      </c>
      <c r="E161" s="67">
        <v>0.23</v>
      </c>
      <c r="F161" s="68">
        <v>0.22</v>
      </c>
      <c r="G161" s="68">
        <v>0.22</v>
      </c>
      <c r="H161" s="68">
        <v>0.22</v>
      </c>
      <c r="I161" s="68">
        <v>0.21</v>
      </c>
      <c r="J161" s="68">
        <v>0.21</v>
      </c>
    </row>
    <row r="162" spans="1:13" ht="13.5">
      <c r="A162" s="55" t="s">
        <v>28</v>
      </c>
      <c r="B162" s="56">
        <f t="shared" si="3"/>
        <v>6640.01</v>
      </c>
      <c r="C162" s="55" t="s">
        <v>36</v>
      </c>
      <c r="D162" s="57">
        <v>7100</v>
      </c>
      <c r="E162" s="67">
        <v>0.24</v>
      </c>
      <c r="F162" s="68">
        <v>0.23</v>
      </c>
      <c r="G162" s="68">
        <v>0.23</v>
      </c>
      <c r="H162" s="68">
        <v>0.23</v>
      </c>
      <c r="I162" s="68">
        <v>0.22</v>
      </c>
      <c r="J162" s="68">
        <v>0.22</v>
      </c>
    </row>
    <row r="163" spans="1:13" ht="13.5">
      <c r="A163" s="55" t="s">
        <v>28</v>
      </c>
      <c r="B163" s="56">
        <f t="shared" si="3"/>
        <v>7100.01</v>
      </c>
      <c r="C163" s="55" t="s">
        <v>36</v>
      </c>
      <c r="D163" s="57">
        <v>7670</v>
      </c>
      <c r="E163" s="67">
        <v>0.25</v>
      </c>
      <c r="F163" s="68">
        <v>0.24</v>
      </c>
      <c r="G163" s="68">
        <v>0.24</v>
      </c>
      <c r="H163" s="68">
        <v>0.24</v>
      </c>
      <c r="I163" s="68">
        <v>0.24</v>
      </c>
      <c r="J163" s="68">
        <v>0.23</v>
      </c>
    </row>
    <row r="164" spans="1:13" ht="13.5">
      <c r="A164" s="55" t="s">
        <v>28</v>
      </c>
      <c r="B164" s="56">
        <f t="shared" si="3"/>
        <v>7670.01</v>
      </c>
      <c r="C164" s="55" t="s">
        <v>36</v>
      </c>
      <c r="D164" s="57">
        <v>8340</v>
      </c>
      <c r="E164" s="67">
        <v>0.26</v>
      </c>
      <c r="F164" s="68">
        <v>0.25</v>
      </c>
      <c r="G164" s="68">
        <v>0.25</v>
      </c>
      <c r="H164" s="68">
        <v>0.25</v>
      </c>
      <c r="I164" s="68">
        <v>0.25</v>
      </c>
      <c r="J164" s="68">
        <v>0.24</v>
      </c>
    </row>
    <row r="165" spans="1:13" ht="13.5">
      <c r="A165" s="55" t="s">
        <v>28</v>
      </c>
      <c r="B165" s="56">
        <f t="shared" si="3"/>
        <v>8340.01</v>
      </c>
      <c r="C165" s="55" t="s">
        <v>36</v>
      </c>
      <c r="D165" s="57">
        <v>9110</v>
      </c>
      <c r="E165" s="67">
        <v>0.27</v>
      </c>
      <c r="F165" s="68">
        <v>0.26</v>
      </c>
      <c r="G165" s="68">
        <v>0.26</v>
      </c>
      <c r="H165" s="68">
        <v>0.26</v>
      </c>
      <c r="I165" s="68">
        <v>0.25</v>
      </c>
      <c r="J165" s="68">
        <v>0.25</v>
      </c>
    </row>
    <row r="166" spans="1:13" ht="13.5">
      <c r="A166" s="55" t="s">
        <v>28</v>
      </c>
      <c r="B166" s="56">
        <f t="shared" si="3"/>
        <v>9110.01</v>
      </c>
      <c r="C166" s="55" t="s">
        <v>36</v>
      </c>
      <c r="D166" s="57">
        <v>9830</v>
      </c>
      <c r="E166" s="67">
        <v>0.28000000000000003</v>
      </c>
      <c r="F166" s="68">
        <v>0.27</v>
      </c>
      <c r="G166" s="68">
        <v>0.27</v>
      </c>
      <c r="H166" s="68">
        <v>0.27</v>
      </c>
      <c r="I166" s="68">
        <v>0.27</v>
      </c>
      <c r="J166" s="68">
        <v>0.26</v>
      </c>
    </row>
    <row r="167" spans="1:13" ht="13.5">
      <c r="A167" s="82" t="s">
        <v>37</v>
      </c>
      <c r="B167" s="69">
        <f t="shared" si="3"/>
        <v>9830.01</v>
      </c>
      <c r="C167" s="82" t="s">
        <v>37</v>
      </c>
      <c r="D167" s="63">
        <v>9830</v>
      </c>
      <c r="E167" s="70">
        <v>0.28999999999999998</v>
      </c>
      <c r="F167" s="71">
        <v>0.28000000000000003</v>
      </c>
      <c r="G167" s="71">
        <v>0.28000000000000003</v>
      </c>
      <c r="H167" s="71">
        <v>0.28000000000000003</v>
      </c>
      <c r="I167" s="71">
        <v>0.28000000000000003</v>
      </c>
      <c r="J167" s="71">
        <v>0.27</v>
      </c>
    </row>
    <row r="168" spans="1:13" ht="13.5">
      <c r="A168" s="83"/>
      <c r="B168" s="72"/>
      <c r="C168" s="83"/>
      <c r="D168" s="72"/>
      <c r="E168" s="84"/>
      <c r="F168" s="85"/>
      <c r="G168" s="85"/>
      <c r="H168" s="85"/>
      <c r="I168" s="85"/>
      <c r="J168" s="85"/>
    </row>
    <row r="169" spans="1:13">
      <c r="B169" s="48"/>
      <c r="D169" s="48"/>
    </row>
    <row r="170" spans="1:13">
      <c r="A170" s="298" t="s">
        <v>30</v>
      </c>
      <c r="B170" s="298"/>
      <c r="C170" s="298"/>
      <c r="D170" s="299"/>
      <c r="E170" s="299"/>
      <c r="F170" s="299"/>
      <c r="G170" s="299"/>
      <c r="H170" s="299"/>
      <c r="I170" s="299"/>
      <c r="J170" s="299"/>
    </row>
    <row r="171" spans="1:13">
      <c r="B171" s="48"/>
      <c r="D171" s="48"/>
    </row>
    <row r="172" spans="1:13">
      <c r="B172" s="48"/>
      <c r="D172" s="48"/>
    </row>
    <row r="173" spans="1:13">
      <c r="A173" s="44"/>
      <c r="B173" s="45"/>
      <c r="C173" s="291" t="s">
        <v>45</v>
      </c>
      <c r="D173" s="291"/>
      <c r="E173" s="291"/>
      <c r="F173" s="291"/>
      <c r="G173" s="291"/>
      <c r="H173" s="291"/>
      <c r="I173" s="291"/>
      <c r="J173" s="291"/>
      <c r="M173" s="43"/>
    </row>
    <row r="174" spans="1:13">
      <c r="A174" s="44"/>
      <c r="B174" s="46"/>
      <c r="C174" s="291" t="s">
        <v>46</v>
      </c>
      <c r="D174" s="291"/>
      <c r="E174" s="291"/>
      <c r="F174" s="291"/>
      <c r="G174" s="291"/>
      <c r="H174" s="291"/>
      <c r="I174" s="291"/>
      <c r="J174" s="291"/>
      <c r="M174" s="43"/>
    </row>
    <row r="175" spans="1:13" ht="15.75">
      <c r="J175" s="47"/>
    </row>
    <row r="177" spans="1:10" ht="12.75" customHeight="1">
      <c r="A177" s="292" t="s">
        <v>33</v>
      </c>
      <c r="B177" s="293"/>
      <c r="C177" s="293"/>
      <c r="D177" s="294"/>
      <c r="E177" s="49" t="s">
        <v>34</v>
      </c>
      <c r="F177" s="50"/>
      <c r="G177" s="50"/>
      <c r="H177" s="50"/>
      <c r="I177" s="50"/>
      <c r="J177" s="51"/>
    </row>
    <row r="178" spans="1:10">
      <c r="A178" s="295"/>
      <c r="B178" s="296"/>
      <c r="C178" s="296"/>
      <c r="D178" s="297"/>
      <c r="E178" s="52">
        <v>0</v>
      </c>
      <c r="F178" s="66">
        <v>1</v>
      </c>
      <c r="G178" s="66">
        <v>2</v>
      </c>
      <c r="H178" s="66">
        <v>3</v>
      </c>
      <c r="I178" s="66">
        <v>4</v>
      </c>
      <c r="J178" s="54" t="s">
        <v>35</v>
      </c>
    </row>
    <row r="179" spans="1:10" ht="13.5">
      <c r="A179" s="55" t="s">
        <v>28</v>
      </c>
      <c r="B179" s="56">
        <v>0</v>
      </c>
      <c r="C179" s="55" t="s">
        <v>36</v>
      </c>
      <c r="D179" s="57">
        <v>1740</v>
      </c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</row>
    <row r="180" spans="1:10" ht="13.5">
      <c r="A180" s="86" t="s">
        <v>28</v>
      </c>
      <c r="B180" s="56">
        <f>D179+0.01</f>
        <v>1740.01</v>
      </c>
      <c r="C180" s="86" t="s">
        <v>36</v>
      </c>
      <c r="D180" s="57">
        <v>1925</v>
      </c>
      <c r="E180" s="68">
        <v>0.01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</row>
    <row r="181" spans="1:10" ht="13.5">
      <c r="A181" s="55" t="s">
        <v>28</v>
      </c>
      <c r="B181" s="56">
        <f t="shared" ref="B181:B204" si="4">D180+0.01</f>
        <v>1925.01</v>
      </c>
      <c r="C181" s="55" t="s">
        <v>36</v>
      </c>
      <c r="D181" s="57">
        <v>2285</v>
      </c>
      <c r="E181" s="68">
        <v>0.02</v>
      </c>
      <c r="F181" s="68">
        <v>0.02</v>
      </c>
      <c r="G181" s="68">
        <v>0.01</v>
      </c>
      <c r="H181" s="68">
        <v>0.01</v>
      </c>
      <c r="I181" s="68">
        <v>0</v>
      </c>
      <c r="J181" s="68">
        <v>0</v>
      </c>
    </row>
    <row r="182" spans="1:10" ht="13.5">
      <c r="A182" s="55" t="s">
        <v>28</v>
      </c>
      <c r="B182" s="56">
        <f t="shared" si="4"/>
        <v>2285.0100000000002</v>
      </c>
      <c r="C182" s="55" t="s">
        <v>36</v>
      </c>
      <c r="D182" s="57">
        <v>2460</v>
      </c>
      <c r="E182" s="68">
        <v>0.03</v>
      </c>
      <c r="F182" s="68">
        <v>0.03</v>
      </c>
      <c r="G182" s="68">
        <v>0.02</v>
      </c>
      <c r="H182" s="68">
        <v>0.02</v>
      </c>
      <c r="I182" s="68">
        <v>0.01</v>
      </c>
      <c r="J182" s="68">
        <v>0.01</v>
      </c>
    </row>
    <row r="183" spans="1:10" ht="13.5">
      <c r="A183" s="55" t="s">
        <v>28</v>
      </c>
      <c r="B183" s="56">
        <f t="shared" si="4"/>
        <v>2460.0100000000002</v>
      </c>
      <c r="C183" s="55" t="s">
        <v>36</v>
      </c>
      <c r="D183" s="57">
        <v>2700</v>
      </c>
      <c r="E183" s="68">
        <v>0.05</v>
      </c>
      <c r="F183" s="68">
        <v>0.05</v>
      </c>
      <c r="G183" s="68">
        <v>0.04</v>
      </c>
      <c r="H183" s="68">
        <v>0.04</v>
      </c>
      <c r="I183" s="68">
        <v>0.04</v>
      </c>
      <c r="J183" s="68">
        <v>0.03</v>
      </c>
    </row>
    <row r="184" spans="1:10" ht="13.5">
      <c r="A184" s="55" t="s">
        <v>28</v>
      </c>
      <c r="B184" s="56">
        <f t="shared" si="4"/>
        <v>2700.01</v>
      </c>
      <c r="C184" s="55" t="s">
        <v>36</v>
      </c>
      <c r="D184" s="57">
        <v>2900</v>
      </c>
      <c r="E184" s="68">
        <v>0.06</v>
      </c>
      <c r="F184" s="68">
        <v>0.06</v>
      </c>
      <c r="G184" s="68">
        <v>0.05</v>
      </c>
      <c r="H184" s="68">
        <v>0.05</v>
      </c>
      <c r="I184" s="68">
        <v>0.05</v>
      </c>
      <c r="J184" s="68">
        <v>0.04</v>
      </c>
    </row>
    <row r="185" spans="1:10" ht="13.5">
      <c r="A185" s="55" t="s">
        <v>28</v>
      </c>
      <c r="B185" s="56">
        <f t="shared" si="4"/>
        <v>2900.01</v>
      </c>
      <c r="C185" s="55" t="s">
        <v>36</v>
      </c>
      <c r="D185" s="57">
        <v>3110</v>
      </c>
      <c r="E185" s="68">
        <v>7.0000000000000007E-2</v>
      </c>
      <c r="F185" s="68">
        <v>7.0000000000000007E-2</v>
      </c>
      <c r="G185" s="68">
        <v>0.06</v>
      </c>
      <c r="H185" s="68">
        <v>0.06</v>
      </c>
      <c r="I185" s="68">
        <v>0.06</v>
      </c>
      <c r="J185" s="68">
        <v>0.05</v>
      </c>
    </row>
    <row r="186" spans="1:10" ht="13.5">
      <c r="A186" s="55" t="s">
        <v>28</v>
      </c>
      <c r="B186" s="56">
        <f t="shared" si="4"/>
        <v>3110.01</v>
      </c>
      <c r="C186" s="55" t="s">
        <v>36</v>
      </c>
      <c r="D186" s="57">
        <v>3275</v>
      </c>
      <c r="E186" s="68">
        <v>0.08</v>
      </c>
      <c r="F186" s="68">
        <v>0.08</v>
      </c>
      <c r="G186" s="68">
        <v>7.0000000000000007E-2</v>
      </c>
      <c r="H186" s="68">
        <v>7.0000000000000007E-2</v>
      </c>
      <c r="I186" s="68">
        <v>7.0000000000000007E-2</v>
      </c>
      <c r="J186" s="68">
        <v>7.0000000000000007E-2</v>
      </c>
    </row>
    <row r="187" spans="1:10" ht="13.5">
      <c r="A187" s="55" t="s">
        <v>28</v>
      </c>
      <c r="B187" s="56">
        <f t="shared" si="4"/>
        <v>3275.01</v>
      </c>
      <c r="C187" s="55" t="s">
        <v>36</v>
      </c>
      <c r="D187" s="57">
        <v>3430</v>
      </c>
      <c r="E187" s="68">
        <v>0.09</v>
      </c>
      <c r="F187" s="68">
        <v>0.09</v>
      </c>
      <c r="G187" s="68">
        <v>0.08</v>
      </c>
      <c r="H187" s="68">
        <v>0.08</v>
      </c>
      <c r="I187" s="68">
        <v>0.08</v>
      </c>
      <c r="J187" s="68">
        <v>0.08</v>
      </c>
    </row>
    <row r="188" spans="1:10" ht="13.5">
      <c r="A188" s="55" t="s">
        <v>28</v>
      </c>
      <c r="B188" s="56">
        <f t="shared" si="4"/>
        <v>3430.01</v>
      </c>
      <c r="C188" s="55" t="s">
        <v>36</v>
      </c>
      <c r="D188" s="57">
        <v>3530</v>
      </c>
      <c r="E188" s="68">
        <v>0.1</v>
      </c>
      <c r="F188" s="68">
        <v>0.1</v>
      </c>
      <c r="G188" s="68">
        <v>0.1</v>
      </c>
      <c r="H188" s="68">
        <v>0.09</v>
      </c>
      <c r="I188" s="68">
        <v>0.09</v>
      </c>
      <c r="J188" s="68">
        <v>0.09</v>
      </c>
    </row>
    <row r="189" spans="1:10" ht="13.5">
      <c r="A189" s="55" t="s">
        <v>28</v>
      </c>
      <c r="B189" s="56">
        <f t="shared" si="4"/>
        <v>3530.01</v>
      </c>
      <c r="C189" s="55" t="s">
        <v>36</v>
      </c>
      <c r="D189" s="57">
        <v>3735</v>
      </c>
      <c r="E189" s="68">
        <v>0.11</v>
      </c>
      <c r="F189" s="68">
        <v>0.11</v>
      </c>
      <c r="G189" s="68">
        <v>0.11</v>
      </c>
      <c r="H189" s="68">
        <v>0.1</v>
      </c>
      <c r="I189" s="68">
        <v>0.1</v>
      </c>
      <c r="J189" s="68">
        <v>0.1</v>
      </c>
    </row>
    <row r="190" spans="1:10" ht="13.5">
      <c r="A190" s="55" t="s">
        <v>28</v>
      </c>
      <c r="B190" s="56">
        <f t="shared" si="4"/>
        <v>3735.01</v>
      </c>
      <c r="C190" s="55" t="s">
        <v>36</v>
      </c>
      <c r="D190" s="57">
        <v>3840</v>
      </c>
      <c r="E190" s="68">
        <v>0.12</v>
      </c>
      <c r="F190" s="68">
        <v>0.12</v>
      </c>
      <c r="G190" s="68">
        <v>0.12</v>
      </c>
      <c r="H190" s="68">
        <v>0.11</v>
      </c>
      <c r="I190" s="68">
        <v>0.11</v>
      </c>
      <c r="J190" s="68">
        <v>0.11</v>
      </c>
    </row>
    <row r="191" spans="1:10" ht="13.5">
      <c r="A191" s="55" t="s">
        <v>28</v>
      </c>
      <c r="B191" s="56">
        <f t="shared" si="4"/>
        <v>3840.01</v>
      </c>
      <c r="C191" s="55" t="s">
        <v>36</v>
      </c>
      <c r="D191" s="57">
        <v>4150</v>
      </c>
      <c r="E191" s="68">
        <v>0.13</v>
      </c>
      <c r="F191" s="68">
        <v>0.13</v>
      </c>
      <c r="G191" s="68">
        <v>0.13</v>
      </c>
      <c r="H191" s="68">
        <v>0.12</v>
      </c>
      <c r="I191" s="68">
        <v>0.12</v>
      </c>
      <c r="J191" s="68">
        <v>0.12</v>
      </c>
    </row>
    <row r="192" spans="1:10" ht="13.5">
      <c r="A192" s="55" t="s">
        <v>28</v>
      </c>
      <c r="B192" s="56">
        <f t="shared" si="4"/>
        <v>4150.01</v>
      </c>
      <c r="C192" s="55" t="s">
        <v>36</v>
      </c>
      <c r="D192" s="57">
        <v>4350</v>
      </c>
      <c r="E192" s="68">
        <v>0.14000000000000001</v>
      </c>
      <c r="F192" s="68">
        <v>0.14000000000000001</v>
      </c>
      <c r="G192" s="68">
        <v>0.14000000000000001</v>
      </c>
      <c r="H192" s="68">
        <v>0.13</v>
      </c>
      <c r="I192" s="68">
        <v>0.13</v>
      </c>
      <c r="J192" s="68">
        <v>0.13</v>
      </c>
    </row>
    <row r="193" spans="1:10" ht="13.5">
      <c r="A193" s="55" t="s">
        <v>28</v>
      </c>
      <c r="B193" s="56">
        <f t="shared" si="4"/>
        <v>4350.01</v>
      </c>
      <c r="C193" s="55" t="s">
        <v>36</v>
      </c>
      <c r="D193" s="57">
        <v>4775</v>
      </c>
      <c r="E193" s="68">
        <v>0.15</v>
      </c>
      <c r="F193" s="68">
        <v>0.15</v>
      </c>
      <c r="G193" s="68">
        <v>0.15</v>
      </c>
      <c r="H193" s="68">
        <v>0.14000000000000001</v>
      </c>
      <c r="I193" s="68">
        <v>0.14000000000000001</v>
      </c>
      <c r="J193" s="68">
        <v>0.14000000000000001</v>
      </c>
    </row>
    <row r="194" spans="1:10" ht="13.5">
      <c r="A194" s="55" t="s">
        <v>28</v>
      </c>
      <c r="B194" s="56">
        <f t="shared" si="4"/>
        <v>4775.01</v>
      </c>
      <c r="C194" s="55" t="s">
        <v>36</v>
      </c>
      <c r="D194" s="57">
        <v>5190</v>
      </c>
      <c r="E194" s="68">
        <v>0.16</v>
      </c>
      <c r="F194" s="68">
        <v>0.16</v>
      </c>
      <c r="G194" s="68">
        <v>0.16</v>
      </c>
      <c r="H194" s="68">
        <v>0.15</v>
      </c>
      <c r="I194" s="68">
        <v>0.15</v>
      </c>
      <c r="J194" s="68">
        <v>0.15</v>
      </c>
    </row>
    <row r="195" spans="1:10" ht="13.5">
      <c r="A195" s="55" t="s">
        <v>28</v>
      </c>
      <c r="B195" s="56">
        <f t="shared" si="4"/>
        <v>5190.01</v>
      </c>
      <c r="C195" s="55" t="s">
        <v>36</v>
      </c>
      <c r="D195" s="57">
        <v>5395</v>
      </c>
      <c r="E195" s="68">
        <v>0.17</v>
      </c>
      <c r="F195" s="68">
        <v>0.17</v>
      </c>
      <c r="G195" s="68">
        <v>0.17</v>
      </c>
      <c r="H195" s="68">
        <v>0.17</v>
      </c>
      <c r="I195" s="68">
        <v>0.16</v>
      </c>
      <c r="J195" s="68">
        <v>0.16</v>
      </c>
    </row>
    <row r="196" spans="1:10" ht="13.5">
      <c r="A196" s="55" t="s">
        <v>28</v>
      </c>
      <c r="B196" s="56">
        <f t="shared" si="4"/>
        <v>5395.01</v>
      </c>
      <c r="C196" s="55" t="s">
        <v>36</v>
      </c>
      <c r="D196" s="57">
        <v>5820</v>
      </c>
      <c r="E196" s="68">
        <v>0.18</v>
      </c>
      <c r="F196" s="68">
        <v>0.18</v>
      </c>
      <c r="G196" s="68">
        <v>0.18</v>
      </c>
      <c r="H196" s="68">
        <v>0.18</v>
      </c>
      <c r="I196" s="68">
        <v>0.17</v>
      </c>
      <c r="J196" s="68">
        <v>0.17</v>
      </c>
    </row>
    <row r="197" spans="1:10" ht="13.5">
      <c r="A197" s="55" t="s">
        <v>28</v>
      </c>
      <c r="B197" s="56">
        <f t="shared" si="4"/>
        <v>5820.01</v>
      </c>
      <c r="C197" s="55" t="s">
        <v>36</v>
      </c>
      <c r="D197" s="57">
        <v>6125</v>
      </c>
      <c r="E197" s="68">
        <v>0.19</v>
      </c>
      <c r="F197" s="68">
        <v>0.19</v>
      </c>
      <c r="G197" s="68">
        <v>0.19</v>
      </c>
      <c r="H197" s="68">
        <v>0.19</v>
      </c>
      <c r="I197" s="68">
        <v>0.18</v>
      </c>
      <c r="J197" s="68">
        <v>0.18</v>
      </c>
    </row>
    <row r="198" spans="1:10" ht="13.5">
      <c r="A198" s="55" t="s">
        <v>28</v>
      </c>
      <c r="B198" s="56">
        <f t="shared" si="4"/>
        <v>6125.01</v>
      </c>
      <c r="C198" s="55" t="s">
        <v>36</v>
      </c>
      <c r="D198" s="57">
        <v>6695</v>
      </c>
      <c r="E198" s="68">
        <v>0.2</v>
      </c>
      <c r="F198" s="68">
        <v>0.2</v>
      </c>
      <c r="G198" s="68">
        <v>0.2</v>
      </c>
      <c r="H198" s="68">
        <v>0.2</v>
      </c>
      <c r="I198" s="68">
        <v>0.19</v>
      </c>
      <c r="J198" s="68">
        <v>0.19</v>
      </c>
    </row>
    <row r="199" spans="1:10" ht="13.5">
      <c r="A199" s="55" t="s">
        <v>28</v>
      </c>
      <c r="B199" s="56">
        <f t="shared" si="4"/>
        <v>6695.01</v>
      </c>
      <c r="C199" s="55" t="s">
        <v>36</v>
      </c>
      <c r="D199" s="57">
        <v>7210</v>
      </c>
      <c r="E199" s="68">
        <v>0.21</v>
      </c>
      <c r="F199" s="68">
        <v>0.21</v>
      </c>
      <c r="G199" s="68">
        <v>0.21</v>
      </c>
      <c r="H199" s="68">
        <v>0.21</v>
      </c>
      <c r="I199" s="68">
        <v>0.21</v>
      </c>
      <c r="J199" s="68">
        <v>0.2</v>
      </c>
    </row>
    <row r="200" spans="1:10" ht="13.5">
      <c r="A200" s="55" t="s">
        <v>28</v>
      </c>
      <c r="B200" s="56">
        <f t="shared" si="4"/>
        <v>7210.01</v>
      </c>
      <c r="C200" s="55" t="s">
        <v>36</v>
      </c>
      <c r="D200" s="57">
        <v>8030</v>
      </c>
      <c r="E200" s="68">
        <v>0.22</v>
      </c>
      <c r="F200" s="68">
        <v>0.22</v>
      </c>
      <c r="G200" s="68">
        <v>0.22</v>
      </c>
      <c r="H200" s="68">
        <v>0.22</v>
      </c>
      <c r="I200" s="68">
        <v>0.22</v>
      </c>
      <c r="J200" s="68">
        <v>0.21</v>
      </c>
    </row>
    <row r="201" spans="1:10" ht="13.5">
      <c r="A201" s="55" t="s">
        <v>28</v>
      </c>
      <c r="B201" s="56">
        <f t="shared" si="4"/>
        <v>8030.01</v>
      </c>
      <c r="C201" s="55" t="s">
        <v>36</v>
      </c>
      <c r="D201" s="57">
        <v>8960</v>
      </c>
      <c r="E201" s="68">
        <v>0.23</v>
      </c>
      <c r="F201" s="68">
        <v>0.23</v>
      </c>
      <c r="G201" s="68">
        <v>0.23</v>
      </c>
      <c r="H201" s="68">
        <v>0.23</v>
      </c>
      <c r="I201" s="68">
        <v>0.23</v>
      </c>
      <c r="J201" s="68">
        <v>0.22</v>
      </c>
    </row>
    <row r="202" spans="1:10" ht="13.5">
      <c r="A202" s="55" t="s">
        <v>28</v>
      </c>
      <c r="B202" s="56">
        <f t="shared" si="4"/>
        <v>8960.01</v>
      </c>
      <c r="C202" s="55" t="s">
        <v>36</v>
      </c>
      <c r="D202" s="57">
        <v>9990</v>
      </c>
      <c r="E202" s="68">
        <v>0.24</v>
      </c>
      <c r="F202" s="68">
        <v>0.24</v>
      </c>
      <c r="G202" s="68">
        <v>0.24</v>
      </c>
      <c r="H202" s="68">
        <v>0.24</v>
      </c>
      <c r="I202" s="68">
        <v>0.24</v>
      </c>
      <c r="J202" s="68">
        <v>0.23</v>
      </c>
    </row>
    <row r="203" spans="1:10" ht="13.5">
      <c r="A203" s="55" t="s">
        <v>28</v>
      </c>
      <c r="B203" s="56">
        <f t="shared" si="4"/>
        <v>9990.01</v>
      </c>
      <c r="C203" s="55" t="s">
        <v>36</v>
      </c>
      <c r="D203" s="57">
        <v>11020</v>
      </c>
      <c r="E203" s="68">
        <v>0.25</v>
      </c>
      <c r="F203" s="68">
        <v>0.25</v>
      </c>
      <c r="G203" s="68">
        <v>0.25</v>
      </c>
      <c r="H203" s="68">
        <v>0.25</v>
      </c>
      <c r="I203" s="68">
        <v>0.25</v>
      </c>
      <c r="J203" s="68">
        <v>0.24</v>
      </c>
    </row>
    <row r="204" spans="1:10" ht="13.5">
      <c r="A204" s="61" t="s">
        <v>37</v>
      </c>
      <c r="B204" s="69">
        <f t="shared" si="4"/>
        <v>11020.01</v>
      </c>
      <c r="C204" s="61" t="s">
        <v>37</v>
      </c>
      <c r="D204" s="87">
        <v>11020</v>
      </c>
      <c r="E204" s="71">
        <v>0.26</v>
      </c>
      <c r="F204" s="71">
        <v>0.26</v>
      </c>
      <c r="G204" s="71">
        <v>0.26</v>
      </c>
      <c r="H204" s="71">
        <v>0.26</v>
      </c>
      <c r="I204" s="71">
        <v>0.26</v>
      </c>
      <c r="J204" s="71">
        <v>0.25</v>
      </c>
    </row>
    <row r="205" spans="1:10">
      <c r="B205" s="48"/>
      <c r="D205" s="48"/>
    </row>
    <row r="206" spans="1:10">
      <c r="B206" s="48"/>
      <c r="D206" s="48"/>
    </row>
    <row r="207" spans="1:10">
      <c r="A207" s="298" t="s">
        <v>30</v>
      </c>
      <c r="B207" s="298"/>
      <c r="C207" s="298"/>
      <c r="D207" s="299"/>
      <c r="E207" s="299"/>
      <c r="F207" s="299"/>
      <c r="G207" s="299"/>
      <c r="H207" s="299"/>
      <c r="I207" s="299"/>
      <c r="J207" s="299"/>
    </row>
    <row r="208" spans="1:10">
      <c r="B208" s="48"/>
      <c r="D208" s="48"/>
    </row>
    <row r="209" spans="1:16">
      <c r="B209" s="48"/>
      <c r="D209" s="48"/>
    </row>
    <row r="210" spans="1:16">
      <c r="A210" s="44"/>
      <c r="B210" s="45"/>
      <c r="C210" s="291" t="s">
        <v>47</v>
      </c>
      <c r="D210" s="291"/>
      <c r="E210" s="291"/>
      <c r="F210" s="291"/>
      <c r="G210" s="291"/>
      <c r="H210" s="291"/>
      <c r="I210" s="291"/>
      <c r="J210" s="291"/>
      <c r="M210" s="43"/>
    </row>
    <row r="211" spans="1:16">
      <c r="A211" s="44"/>
      <c r="B211" s="46"/>
      <c r="C211" s="291" t="s">
        <v>48</v>
      </c>
      <c r="D211" s="291"/>
      <c r="E211" s="291"/>
      <c r="F211" s="291"/>
      <c r="G211" s="291"/>
      <c r="H211" s="291"/>
      <c r="I211" s="291"/>
      <c r="J211" s="291"/>
      <c r="M211" s="43"/>
    </row>
    <row r="212" spans="1:16" ht="15.75">
      <c r="J212" s="47"/>
    </row>
    <row r="214" spans="1:16" ht="12.75" customHeight="1">
      <c r="A214" s="292" t="s">
        <v>33</v>
      </c>
      <c r="B214" s="293"/>
      <c r="C214" s="293"/>
      <c r="D214" s="294"/>
      <c r="E214" s="49" t="s">
        <v>34</v>
      </c>
      <c r="F214" s="50"/>
      <c r="G214" s="50"/>
      <c r="H214" s="50"/>
      <c r="I214" s="50"/>
      <c r="J214" s="51"/>
    </row>
    <row r="215" spans="1:16">
      <c r="A215" s="295"/>
      <c r="B215" s="296"/>
      <c r="C215" s="296"/>
      <c r="D215" s="297"/>
      <c r="E215" s="52">
        <v>0</v>
      </c>
      <c r="F215" s="66">
        <v>1</v>
      </c>
      <c r="G215" s="66">
        <v>2</v>
      </c>
      <c r="H215" s="66">
        <v>3</v>
      </c>
      <c r="I215" s="66">
        <v>4</v>
      </c>
      <c r="J215" s="54" t="s">
        <v>35</v>
      </c>
    </row>
    <row r="216" spans="1:16" ht="13.5">
      <c r="A216" s="55" t="s">
        <v>28</v>
      </c>
      <c r="B216" s="56">
        <v>0</v>
      </c>
      <c r="C216" s="55" t="s">
        <v>36</v>
      </c>
      <c r="D216" s="57">
        <v>1420</v>
      </c>
      <c r="E216" s="67">
        <v>0</v>
      </c>
      <c r="F216" s="67">
        <v>0</v>
      </c>
      <c r="G216" s="67">
        <v>0</v>
      </c>
      <c r="H216" s="67">
        <v>0</v>
      </c>
      <c r="I216" s="67">
        <v>0</v>
      </c>
      <c r="J216" s="67">
        <v>0</v>
      </c>
      <c r="K216" s="88"/>
      <c r="L216" s="88"/>
      <c r="M216" s="88"/>
      <c r="N216" s="88"/>
      <c r="O216" s="88"/>
      <c r="P216" s="88"/>
    </row>
    <row r="217" spans="1:16" ht="13.5">
      <c r="A217" s="55" t="s">
        <v>28</v>
      </c>
      <c r="B217" s="56">
        <f>D216+0.01</f>
        <v>1420.01</v>
      </c>
      <c r="C217" s="55" t="s">
        <v>36</v>
      </c>
      <c r="D217" s="57">
        <v>1600</v>
      </c>
      <c r="E217" s="67">
        <v>0.01</v>
      </c>
      <c r="F217" s="67">
        <v>0.01</v>
      </c>
      <c r="G217" s="67">
        <v>0</v>
      </c>
      <c r="H217" s="67">
        <v>0</v>
      </c>
      <c r="I217" s="67">
        <v>0</v>
      </c>
      <c r="J217" s="67">
        <v>0</v>
      </c>
      <c r="K217" s="88"/>
      <c r="L217" s="88"/>
      <c r="M217" s="88"/>
      <c r="N217" s="88"/>
      <c r="O217" s="88"/>
      <c r="P217" s="88"/>
    </row>
    <row r="218" spans="1:16" ht="13.5">
      <c r="A218" s="55" t="s">
        <v>28</v>
      </c>
      <c r="B218" s="56">
        <f t="shared" ref="B218:B242" si="5">D217+0.01</f>
        <v>1600.01</v>
      </c>
      <c r="C218" s="55" t="s">
        <v>36</v>
      </c>
      <c r="D218" s="57">
        <v>1910</v>
      </c>
      <c r="E218" s="67">
        <v>0.02</v>
      </c>
      <c r="F218" s="67">
        <v>0.02</v>
      </c>
      <c r="G218" s="67">
        <v>0.01</v>
      </c>
      <c r="H218" s="67">
        <v>0.01</v>
      </c>
      <c r="I218" s="67">
        <v>0.01</v>
      </c>
      <c r="J218" s="67">
        <v>0</v>
      </c>
      <c r="K218" s="88"/>
      <c r="L218" s="88"/>
      <c r="M218" s="88"/>
      <c r="N218" s="88"/>
      <c r="O218" s="88"/>
      <c r="P218" s="88"/>
    </row>
    <row r="219" spans="1:16" ht="13.5">
      <c r="A219" s="55" t="s">
        <v>28</v>
      </c>
      <c r="B219" s="56">
        <f t="shared" si="5"/>
        <v>1910.01</v>
      </c>
      <c r="C219" s="55" t="s">
        <v>36</v>
      </c>
      <c r="D219" s="57">
        <v>2030</v>
      </c>
      <c r="E219" s="67">
        <v>0.03</v>
      </c>
      <c r="F219" s="67">
        <v>0.03</v>
      </c>
      <c r="G219" s="67">
        <v>0.02</v>
      </c>
      <c r="H219" s="67">
        <v>0.02</v>
      </c>
      <c r="I219" s="67">
        <v>0.02</v>
      </c>
      <c r="J219" s="67">
        <v>0.02</v>
      </c>
      <c r="K219" s="88"/>
      <c r="L219" s="88"/>
      <c r="M219" s="88"/>
      <c r="N219" s="88"/>
      <c r="O219" s="88"/>
      <c r="P219" s="88"/>
    </row>
    <row r="220" spans="1:16" ht="13.5">
      <c r="A220" s="55" t="s">
        <v>28</v>
      </c>
      <c r="B220" s="56">
        <f t="shared" si="5"/>
        <v>2030.01</v>
      </c>
      <c r="C220" s="55" t="s">
        <v>36</v>
      </c>
      <c r="D220" s="57">
        <v>2160</v>
      </c>
      <c r="E220" s="67">
        <v>0.05</v>
      </c>
      <c r="F220" s="67">
        <v>0.04</v>
      </c>
      <c r="G220" s="67">
        <v>0.04</v>
      </c>
      <c r="H220" s="67">
        <v>0.04</v>
      </c>
      <c r="I220" s="67">
        <v>0.03</v>
      </c>
      <c r="J220" s="67">
        <v>0.03</v>
      </c>
      <c r="K220" s="88"/>
      <c r="L220" s="88"/>
      <c r="M220" s="88"/>
      <c r="N220" s="88"/>
      <c r="O220" s="88"/>
      <c r="P220" s="88"/>
    </row>
    <row r="221" spans="1:16" ht="13.5">
      <c r="A221" s="55" t="s">
        <v>28</v>
      </c>
      <c r="B221" s="56">
        <f t="shared" si="5"/>
        <v>2160.0100000000002</v>
      </c>
      <c r="C221" s="55" t="s">
        <v>36</v>
      </c>
      <c r="D221" s="57">
        <v>2260</v>
      </c>
      <c r="E221" s="67">
        <v>7.0000000000000007E-2</v>
      </c>
      <c r="F221" s="67">
        <v>0.06</v>
      </c>
      <c r="G221" s="67">
        <v>0.05</v>
      </c>
      <c r="H221" s="67">
        <v>0.05</v>
      </c>
      <c r="I221" s="67">
        <v>0.05</v>
      </c>
      <c r="J221" s="67">
        <v>0.05</v>
      </c>
      <c r="K221" s="88"/>
      <c r="L221" s="88"/>
      <c r="M221" s="88"/>
      <c r="N221" s="88"/>
      <c r="O221" s="88"/>
      <c r="P221" s="88"/>
    </row>
    <row r="222" spans="1:16" ht="13.5">
      <c r="A222" s="55" t="s">
        <v>28</v>
      </c>
      <c r="B222" s="56">
        <f t="shared" si="5"/>
        <v>2260.0100000000002</v>
      </c>
      <c r="C222" s="55" t="s">
        <v>36</v>
      </c>
      <c r="D222" s="57">
        <v>2420</v>
      </c>
      <c r="E222" s="67">
        <v>0.09</v>
      </c>
      <c r="F222" s="67">
        <v>0.08</v>
      </c>
      <c r="G222" s="67">
        <v>7.0000000000000007E-2</v>
      </c>
      <c r="H222" s="67">
        <v>7.0000000000000007E-2</v>
      </c>
      <c r="I222" s="67">
        <v>0.06</v>
      </c>
      <c r="J222" s="67">
        <v>0.06</v>
      </c>
      <c r="K222" s="88"/>
      <c r="L222" s="88"/>
      <c r="M222" s="88"/>
      <c r="N222" s="88"/>
      <c r="O222" s="88"/>
      <c r="P222" s="88"/>
    </row>
    <row r="223" spans="1:16" ht="13.5">
      <c r="A223" s="55" t="s">
        <v>28</v>
      </c>
      <c r="B223" s="56">
        <f t="shared" si="5"/>
        <v>2420.0100000000002</v>
      </c>
      <c r="C223" s="55" t="s">
        <v>36</v>
      </c>
      <c r="D223" s="57">
        <v>2500</v>
      </c>
      <c r="E223" s="67">
        <v>0.1</v>
      </c>
      <c r="F223" s="67">
        <v>0.09</v>
      </c>
      <c r="G223" s="67">
        <v>0.09</v>
      </c>
      <c r="H223" s="67">
        <v>0.09</v>
      </c>
      <c r="I223" s="67">
        <v>0.08</v>
      </c>
      <c r="J223" s="67">
        <v>0.08</v>
      </c>
      <c r="K223" s="88"/>
      <c r="L223" s="88"/>
      <c r="M223" s="88"/>
      <c r="N223" s="88"/>
      <c r="O223" s="88"/>
      <c r="P223" s="88"/>
    </row>
    <row r="224" spans="1:16" ht="13.5">
      <c r="A224" s="55" t="s">
        <v>28</v>
      </c>
      <c r="B224" s="56">
        <f t="shared" si="5"/>
        <v>2500.0100000000002</v>
      </c>
      <c r="C224" s="55" t="s">
        <v>36</v>
      </c>
      <c r="D224" s="57">
        <v>2600</v>
      </c>
      <c r="E224" s="67">
        <v>0.11</v>
      </c>
      <c r="F224" s="67">
        <v>0.1</v>
      </c>
      <c r="G224" s="67">
        <v>0.1</v>
      </c>
      <c r="H224" s="67">
        <v>0.1</v>
      </c>
      <c r="I224" s="67">
        <v>0.09</v>
      </c>
      <c r="J224" s="67">
        <v>0.09</v>
      </c>
      <c r="K224" s="88"/>
      <c r="L224" s="88"/>
      <c r="M224" s="88"/>
      <c r="N224" s="88"/>
      <c r="O224" s="88"/>
      <c r="P224" s="88"/>
    </row>
    <row r="225" spans="1:16" ht="13.5">
      <c r="A225" s="55" t="s">
        <v>28</v>
      </c>
      <c r="B225" s="56">
        <f t="shared" si="5"/>
        <v>2600.0100000000002</v>
      </c>
      <c r="C225" s="55" t="s">
        <v>36</v>
      </c>
      <c r="D225" s="57">
        <v>2860</v>
      </c>
      <c r="E225" s="67">
        <v>0.12</v>
      </c>
      <c r="F225" s="67">
        <v>0.11</v>
      </c>
      <c r="G225" s="67">
        <v>0.11</v>
      </c>
      <c r="H225" s="67">
        <v>0.11</v>
      </c>
      <c r="I225" s="67">
        <v>0.1</v>
      </c>
      <c r="J225" s="67">
        <v>0.1</v>
      </c>
      <c r="K225" s="88"/>
      <c r="L225" s="88"/>
      <c r="M225" s="88"/>
      <c r="N225" s="88"/>
      <c r="O225" s="88"/>
      <c r="P225" s="88"/>
    </row>
    <row r="226" spans="1:16" ht="13.5">
      <c r="A226" s="55" t="s">
        <v>28</v>
      </c>
      <c r="B226" s="56">
        <f t="shared" si="5"/>
        <v>2860.01</v>
      </c>
      <c r="C226" s="55" t="s">
        <v>36</v>
      </c>
      <c r="D226" s="57">
        <v>3170</v>
      </c>
      <c r="E226" s="67">
        <v>0.13</v>
      </c>
      <c r="F226" s="67">
        <v>0.12</v>
      </c>
      <c r="G226" s="67">
        <v>0.12</v>
      </c>
      <c r="H226" s="67">
        <v>0.12</v>
      </c>
      <c r="I226" s="67">
        <v>0.11</v>
      </c>
      <c r="J226" s="67">
        <v>0.11</v>
      </c>
      <c r="K226" s="88"/>
      <c r="L226" s="88"/>
      <c r="M226" s="88"/>
      <c r="N226" s="88"/>
      <c r="O226" s="88"/>
      <c r="P226" s="88"/>
    </row>
    <row r="227" spans="1:16" ht="13.5">
      <c r="A227" s="55" t="s">
        <v>28</v>
      </c>
      <c r="B227" s="56">
        <f t="shared" si="5"/>
        <v>3170.01</v>
      </c>
      <c r="C227" s="55" t="s">
        <v>36</v>
      </c>
      <c r="D227" s="57">
        <v>3500</v>
      </c>
      <c r="E227" s="67">
        <v>0.14000000000000001</v>
      </c>
      <c r="F227" s="67">
        <v>0.13</v>
      </c>
      <c r="G227" s="67">
        <v>0.13</v>
      </c>
      <c r="H227" s="67">
        <v>0.13</v>
      </c>
      <c r="I227" s="67">
        <v>0.12</v>
      </c>
      <c r="J227" s="67">
        <v>0.12</v>
      </c>
      <c r="K227" s="88"/>
      <c r="L227" s="88"/>
      <c r="M227" s="88"/>
      <c r="N227" s="88"/>
      <c r="O227" s="88"/>
      <c r="P227" s="88"/>
    </row>
    <row r="228" spans="1:16" ht="13.5">
      <c r="A228" s="55" t="s">
        <v>28</v>
      </c>
      <c r="B228" s="56">
        <f t="shared" si="5"/>
        <v>3500.01</v>
      </c>
      <c r="C228" s="55" t="s">
        <v>36</v>
      </c>
      <c r="D228" s="57">
        <v>3630</v>
      </c>
      <c r="E228" s="67">
        <v>0.15</v>
      </c>
      <c r="F228" s="67">
        <v>0.14000000000000001</v>
      </c>
      <c r="G228" s="67">
        <v>0.14000000000000001</v>
      </c>
      <c r="H228" s="67">
        <v>0.14000000000000001</v>
      </c>
      <c r="I228" s="67">
        <v>0.14000000000000001</v>
      </c>
      <c r="J228" s="67">
        <v>0.13</v>
      </c>
      <c r="K228" s="88"/>
      <c r="L228" s="88"/>
      <c r="M228" s="88"/>
      <c r="N228" s="88"/>
      <c r="O228" s="88"/>
      <c r="P228" s="88"/>
    </row>
    <row r="229" spans="1:16" ht="13.5">
      <c r="A229" s="55" t="s">
        <v>28</v>
      </c>
      <c r="B229" s="56">
        <f t="shared" si="5"/>
        <v>3630.01</v>
      </c>
      <c r="C229" s="55" t="s">
        <v>36</v>
      </c>
      <c r="D229" s="57">
        <v>3840</v>
      </c>
      <c r="E229" s="67">
        <v>0.16</v>
      </c>
      <c r="F229" s="67">
        <v>0.15</v>
      </c>
      <c r="G229" s="67">
        <v>0.15</v>
      </c>
      <c r="H229" s="67">
        <v>0.15</v>
      </c>
      <c r="I229" s="67">
        <v>0.15</v>
      </c>
      <c r="J229" s="67">
        <v>0.14000000000000001</v>
      </c>
      <c r="K229" s="88"/>
      <c r="L229" s="88"/>
      <c r="M229" s="88"/>
      <c r="N229" s="88"/>
      <c r="O229" s="88"/>
      <c r="P229" s="88"/>
    </row>
    <row r="230" spans="1:16" ht="13.5">
      <c r="A230" s="55" t="s">
        <v>28</v>
      </c>
      <c r="B230" s="56">
        <f t="shared" si="5"/>
        <v>3840.01</v>
      </c>
      <c r="C230" s="55" t="s">
        <v>36</v>
      </c>
      <c r="D230" s="57">
        <v>4250</v>
      </c>
      <c r="E230" s="67">
        <v>0.17</v>
      </c>
      <c r="F230" s="67">
        <v>0.16</v>
      </c>
      <c r="G230" s="67">
        <v>0.16</v>
      </c>
      <c r="H230" s="67">
        <v>0.16</v>
      </c>
      <c r="I230" s="67">
        <v>0.16</v>
      </c>
      <c r="J230" s="67">
        <v>0.15</v>
      </c>
      <c r="K230" s="88"/>
      <c r="L230" s="88"/>
      <c r="M230" s="88"/>
      <c r="N230" s="88"/>
      <c r="O230" s="88"/>
      <c r="P230" s="88"/>
    </row>
    <row r="231" spans="1:16" ht="13.5">
      <c r="A231" s="55" t="s">
        <v>28</v>
      </c>
      <c r="B231" s="56">
        <f t="shared" si="5"/>
        <v>4250.01</v>
      </c>
      <c r="C231" s="55" t="s">
        <v>36</v>
      </c>
      <c r="D231" s="57">
        <v>4510</v>
      </c>
      <c r="E231" s="67">
        <v>0.18</v>
      </c>
      <c r="F231" s="67">
        <v>0.17</v>
      </c>
      <c r="G231" s="67">
        <v>0.17</v>
      </c>
      <c r="H231" s="67">
        <v>0.17</v>
      </c>
      <c r="I231" s="67">
        <v>0.17</v>
      </c>
      <c r="J231" s="67">
        <v>0.17</v>
      </c>
      <c r="K231" s="88"/>
      <c r="L231" s="88"/>
      <c r="M231" s="88"/>
      <c r="N231" s="88"/>
      <c r="O231" s="88"/>
      <c r="P231" s="88"/>
    </row>
    <row r="232" spans="1:16" ht="13.5">
      <c r="A232" s="55" t="s">
        <v>28</v>
      </c>
      <c r="B232" s="56">
        <f t="shared" si="5"/>
        <v>4510.01</v>
      </c>
      <c r="C232" s="55" t="s">
        <v>36</v>
      </c>
      <c r="D232" s="57">
        <v>4800</v>
      </c>
      <c r="E232" s="67">
        <v>0.19</v>
      </c>
      <c r="F232" s="67">
        <v>0.18</v>
      </c>
      <c r="G232" s="67">
        <v>0.18</v>
      </c>
      <c r="H232" s="67">
        <v>0.18</v>
      </c>
      <c r="I232" s="67">
        <v>0.18</v>
      </c>
      <c r="J232" s="67">
        <v>0.18</v>
      </c>
      <c r="K232" s="88"/>
      <c r="L232" s="88"/>
      <c r="M232" s="88"/>
      <c r="N232" s="88"/>
      <c r="O232" s="88"/>
      <c r="P232" s="88"/>
    </row>
    <row r="233" spans="1:16" ht="13.5">
      <c r="A233" s="55" t="s">
        <v>28</v>
      </c>
      <c r="B233" s="56">
        <f t="shared" si="5"/>
        <v>4800.01</v>
      </c>
      <c r="C233" s="55" t="s">
        <v>36</v>
      </c>
      <c r="D233" s="57">
        <v>5080</v>
      </c>
      <c r="E233" s="67">
        <v>0.2</v>
      </c>
      <c r="F233" s="67">
        <v>0.19</v>
      </c>
      <c r="G233" s="67">
        <v>0.19</v>
      </c>
      <c r="H233" s="67">
        <v>0.19</v>
      </c>
      <c r="I233" s="67">
        <v>0.19</v>
      </c>
      <c r="J233" s="67">
        <v>0.19</v>
      </c>
      <c r="K233" s="88"/>
      <c r="L233" s="88"/>
      <c r="M233" s="88"/>
      <c r="N233" s="88"/>
      <c r="O233" s="88"/>
      <c r="P233" s="88"/>
    </row>
    <row r="234" spans="1:16" ht="13.5">
      <c r="A234" s="55" t="s">
        <v>28</v>
      </c>
      <c r="B234" s="56">
        <f t="shared" si="5"/>
        <v>5080.01</v>
      </c>
      <c r="C234" s="55" t="s">
        <v>36</v>
      </c>
      <c r="D234" s="57">
        <v>5500</v>
      </c>
      <c r="E234" s="67">
        <v>0.21</v>
      </c>
      <c r="F234" s="67">
        <v>0.2</v>
      </c>
      <c r="G234" s="67">
        <v>0.2</v>
      </c>
      <c r="H234" s="67">
        <v>0.2</v>
      </c>
      <c r="I234" s="67">
        <v>0.2</v>
      </c>
      <c r="J234" s="67">
        <v>0.2</v>
      </c>
      <c r="K234" s="88"/>
      <c r="L234" s="88"/>
      <c r="M234" s="88"/>
      <c r="N234" s="88"/>
      <c r="O234" s="88"/>
      <c r="P234" s="88"/>
    </row>
    <row r="235" spans="1:16" ht="13.5">
      <c r="A235" s="55" t="s">
        <v>28</v>
      </c>
      <c r="B235" s="56">
        <f t="shared" si="5"/>
        <v>5500.01</v>
      </c>
      <c r="C235" s="55" t="s">
        <v>36</v>
      </c>
      <c r="D235" s="57">
        <v>5920</v>
      </c>
      <c r="E235" s="67">
        <v>0.22</v>
      </c>
      <c r="F235" s="67">
        <v>0.21</v>
      </c>
      <c r="G235" s="67">
        <v>0.21</v>
      </c>
      <c r="H235" s="67">
        <v>0.21</v>
      </c>
      <c r="I235" s="67">
        <v>0.21</v>
      </c>
      <c r="J235" s="67">
        <v>0.21</v>
      </c>
      <c r="K235" s="88"/>
      <c r="L235" s="88"/>
      <c r="M235" s="88"/>
      <c r="N235" s="88"/>
      <c r="O235" s="88"/>
      <c r="P235" s="88"/>
    </row>
    <row r="236" spans="1:16" ht="13.5">
      <c r="A236" s="55" t="s">
        <v>28</v>
      </c>
      <c r="B236" s="56">
        <f t="shared" si="5"/>
        <v>5920.01</v>
      </c>
      <c r="C236" s="55" t="s">
        <v>36</v>
      </c>
      <c r="D236" s="57">
        <v>6640</v>
      </c>
      <c r="E236" s="67">
        <v>0.23</v>
      </c>
      <c r="F236" s="67">
        <v>0.22</v>
      </c>
      <c r="G236" s="67">
        <v>0.22</v>
      </c>
      <c r="H236" s="67">
        <v>0.22</v>
      </c>
      <c r="I236" s="67">
        <v>0.22</v>
      </c>
      <c r="J236" s="67">
        <v>0.22</v>
      </c>
      <c r="K236" s="88"/>
      <c r="L236" s="88"/>
      <c r="M236" s="88"/>
      <c r="N236" s="88"/>
      <c r="O236" s="88"/>
      <c r="P236" s="88"/>
    </row>
    <row r="237" spans="1:16" ht="13.5">
      <c r="A237" s="55" t="s">
        <v>28</v>
      </c>
      <c r="B237" s="56">
        <f t="shared" si="5"/>
        <v>6640.01</v>
      </c>
      <c r="C237" s="55" t="s">
        <v>36</v>
      </c>
      <c r="D237" s="57">
        <v>7100</v>
      </c>
      <c r="E237" s="67">
        <v>0.24</v>
      </c>
      <c r="F237" s="67">
        <v>0.23</v>
      </c>
      <c r="G237" s="67">
        <v>0.23</v>
      </c>
      <c r="H237" s="67">
        <v>0.23</v>
      </c>
      <c r="I237" s="67">
        <v>0.23</v>
      </c>
      <c r="J237" s="67">
        <v>0.23</v>
      </c>
      <c r="K237" s="88"/>
      <c r="L237" s="88"/>
      <c r="M237" s="88"/>
      <c r="N237" s="88"/>
      <c r="O237" s="88"/>
      <c r="P237" s="88"/>
    </row>
    <row r="238" spans="1:16" ht="13.5">
      <c r="A238" s="55" t="s">
        <v>28</v>
      </c>
      <c r="B238" s="56">
        <f t="shared" si="5"/>
        <v>7100.01</v>
      </c>
      <c r="C238" s="55" t="s">
        <v>36</v>
      </c>
      <c r="D238" s="57">
        <v>7670</v>
      </c>
      <c r="E238" s="67">
        <v>0.25</v>
      </c>
      <c r="F238" s="67">
        <v>0.24</v>
      </c>
      <c r="G238" s="67">
        <v>0.24</v>
      </c>
      <c r="H238" s="67">
        <v>0.24</v>
      </c>
      <c r="I238" s="67">
        <v>0.24</v>
      </c>
      <c r="J238" s="67">
        <v>0.24</v>
      </c>
      <c r="K238" s="88"/>
      <c r="L238" s="88"/>
      <c r="M238" s="88"/>
      <c r="N238" s="88"/>
      <c r="O238" s="88"/>
      <c r="P238" s="88"/>
    </row>
    <row r="239" spans="1:16" ht="13.5">
      <c r="A239" s="55" t="s">
        <v>28</v>
      </c>
      <c r="B239" s="56">
        <f t="shared" si="5"/>
        <v>7670.01</v>
      </c>
      <c r="C239" s="55" t="s">
        <v>36</v>
      </c>
      <c r="D239" s="57">
        <v>8340</v>
      </c>
      <c r="E239" s="67">
        <v>0.26</v>
      </c>
      <c r="F239" s="67">
        <v>0.25</v>
      </c>
      <c r="G239" s="67">
        <v>0.25</v>
      </c>
      <c r="H239" s="67">
        <v>0.25</v>
      </c>
      <c r="I239" s="67">
        <v>0.25</v>
      </c>
      <c r="J239" s="67">
        <v>0.25</v>
      </c>
      <c r="K239" s="88"/>
      <c r="L239" s="88"/>
      <c r="M239" s="88"/>
      <c r="N239" s="88"/>
      <c r="O239" s="88"/>
      <c r="P239" s="88"/>
    </row>
    <row r="240" spans="1:16" ht="13.5">
      <c r="A240" s="55" t="s">
        <v>28</v>
      </c>
      <c r="B240" s="56">
        <f t="shared" si="5"/>
        <v>8340.01</v>
      </c>
      <c r="C240" s="55" t="s">
        <v>36</v>
      </c>
      <c r="D240" s="57">
        <v>9110</v>
      </c>
      <c r="E240" s="67">
        <v>0.27</v>
      </c>
      <c r="F240" s="67">
        <v>0.26</v>
      </c>
      <c r="G240" s="67">
        <v>0.26</v>
      </c>
      <c r="H240" s="67">
        <v>0.26</v>
      </c>
      <c r="I240" s="67">
        <v>0.26</v>
      </c>
      <c r="J240" s="67">
        <v>0.26</v>
      </c>
      <c r="K240" s="88"/>
      <c r="L240" s="88"/>
      <c r="M240" s="88"/>
      <c r="N240" s="88"/>
      <c r="O240" s="88"/>
      <c r="P240" s="88"/>
    </row>
    <row r="241" spans="1:16" ht="13.5">
      <c r="A241" s="55" t="s">
        <v>28</v>
      </c>
      <c r="B241" s="56">
        <f t="shared" si="5"/>
        <v>9110.01</v>
      </c>
      <c r="C241" s="55" t="s">
        <v>36</v>
      </c>
      <c r="D241" s="57">
        <v>9830</v>
      </c>
      <c r="E241" s="67">
        <v>0.28000000000000003</v>
      </c>
      <c r="F241" s="67">
        <v>0.27</v>
      </c>
      <c r="G241" s="68">
        <v>0.27</v>
      </c>
      <c r="H241" s="68">
        <v>0.27</v>
      </c>
      <c r="I241" s="68">
        <v>0.27</v>
      </c>
      <c r="J241" s="68">
        <v>0.27</v>
      </c>
      <c r="K241" s="88"/>
      <c r="L241" s="88"/>
      <c r="M241" s="88"/>
      <c r="N241" s="88"/>
      <c r="O241" s="88"/>
      <c r="P241" s="88"/>
    </row>
    <row r="242" spans="1:16" ht="13.5">
      <c r="A242" s="82" t="s">
        <v>37</v>
      </c>
      <c r="B242" s="69">
        <f t="shared" si="5"/>
        <v>9830.01</v>
      </c>
      <c r="C242" s="82" t="s">
        <v>37</v>
      </c>
      <c r="D242" s="63">
        <v>9830</v>
      </c>
      <c r="E242" s="70">
        <v>0.28999999999999998</v>
      </c>
      <c r="F242" s="70">
        <v>0.28000000000000003</v>
      </c>
      <c r="G242" s="71">
        <v>0.28000000000000003</v>
      </c>
      <c r="H242" s="71">
        <v>0.28000000000000003</v>
      </c>
      <c r="I242" s="71">
        <v>0.28000000000000003</v>
      </c>
      <c r="J242" s="71">
        <v>0.28000000000000003</v>
      </c>
    </row>
    <row r="243" spans="1:16">
      <c r="A243" s="89"/>
      <c r="B243" s="90"/>
      <c r="C243" s="89"/>
      <c r="D243" s="90"/>
      <c r="E243" s="90"/>
      <c r="F243" s="90"/>
      <c r="G243" s="90"/>
    </row>
    <row r="244" spans="1:16">
      <c r="A244" s="90"/>
      <c r="B244" s="90"/>
      <c r="C244" s="90"/>
      <c r="D244" s="90"/>
      <c r="E244" s="90"/>
      <c r="F244" s="90"/>
      <c r="G244" s="90"/>
    </row>
    <row r="245" spans="1:16">
      <c r="A245" s="90"/>
      <c r="B245" s="91"/>
      <c r="C245" s="90"/>
      <c r="D245" s="91"/>
      <c r="E245" s="90"/>
      <c r="F245" s="90"/>
      <c r="G245" s="90"/>
    </row>
    <row r="246" spans="1:16">
      <c r="A246" s="92"/>
      <c r="B246" s="93"/>
      <c r="C246" s="92"/>
      <c r="D246" s="93"/>
      <c r="E246" s="93"/>
      <c r="F246" s="93"/>
      <c r="G246" s="93"/>
    </row>
    <row r="247" spans="1:16" ht="15.75">
      <c r="A247" s="90"/>
      <c r="B247" s="91"/>
      <c r="C247" s="90"/>
      <c r="D247" s="91"/>
      <c r="E247" s="90"/>
      <c r="F247" s="90"/>
      <c r="G247" s="94"/>
    </row>
    <row r="248" spans="1:16">
      <c r="A248" s="90"/>
      <c r="B248" s="91"/>
      <c r="C248" s="90"/>
      <c r="D248" s="91"/>
      <c r="E248" s="90"/>
      <c r="F248" s="90"/>
      <c r="G248" s="90"/>
    </row>
    <row r="249" spans="1:16" ht="22.5" customHeight="1">
      <c r="A249" s="95"/>
      <c r="B249" s="95"/>
      <c r="C249" s="95"/>
      <c r="D249" s="95"/>
      <c r="E249" s="89"/>
      <c r="F249" s="96"/>
      <c r="G249" s="89"/>
    </row>
    <row r="250" spans="1:16">
      <c r="A250" s="95"/>
      <c r="B250" s="95"/>
      <c r="C250" s="95"/>
      <c r="D250" s="95"/>
      <c r="E250" s="96"/>
      <c r="F250" s="96"/>
      <c r="G250" s="96"/>
    </row>
    <row r="251" spans="1:16" ht="27.75" customHeight="1">
      <c r="A251" s="95"/>
      <c r="B251" s="95"/>
      <c r="C251" s="95"/>
      <c r="D251" s="95"/>
      <c r="E251" s="96"/>
      <c r="F251" s="96"/>
      <c r="G251" s="96"/>
    </row>
    <row r="252" spans="1:16">
      <c r="A252" s="90"/>
      <c r="B252" s="91"/>
      <c r="C252" s="90"/>
      <c r="D252" s="91"/>
      <c r="E252" s="90"/>
      <c r="F252" s="90"/>
      <c r="G252" s="90"/>
    </row>
    <row r="253" spans="1:16" ht="13.5">
      <c r="A253" s="97"/>
      <c r="B253" s="98"/>
      <c r="C253" s="97"/>
      <c r="D253" s="98"/>
      <c r="E253" s="99"/>
      <c r="F253" s="99"/>
      <c r="G253" s="100"/>
    </row>
    <row r="254" spans="1:16" ht="13.5">
      <c r="A254" s="97"/>
      <c r="B254" s="101"/>
      <c r="C254" s="97"/>
      <c r="D254" s="101"/>
      <c r="E254" s="99"/>
      <c r="F254" s="99"/>
      <c r="G254" s="100"/>
    </row>
    <row r="255" spans="1:16" ht="13.5">
      <c r="A255" s="97"/>
      <c r="B255" s="101"/>
      <c r="C255" s="97"/>
      <c r="D255" s="101"/>
      <c r="E255" s="99"/>
      <c r="F255" s="99"/>
      <c r="G255" s="100"/>
    </row>
    <row r="256" spans="1:16" ht="13.5">
      <c r="A256" s="97"/>
      <c r="B256" s="101"/>
      <c r="C256" s="97"/>
      <c r="D256" s="101"/>
      <c r="E256" s="99"/>
      <c r="F256" s="99"/>
      <c r="G256" s="100"/>
    </row>
    <row r="257" spans="1:7" ht="13.5">
      <c r="A257" s="97"/>
      <c r="B257" s="101"/>
      <c r="C257" s="97"/>
      <c r="D257" s="101"/>
      <c r="E257" s="99"/>
      <c r="F257" s="99"/>
      <c r="G257" s="100"/>
    </row>
    <row r="258" spans="1:7" ht="13.5">
      <c r="A258" s="97"/>
      <c r="B258" s="101"/>
      <c r="C258" s="97"/>
      <c r="D258" s="101"/>
      <c r="E258" s="99"/>
      <c r="F258" s="99"/>
      <c r="G258" s="100"/>
    </row>
    <row r="259" spans="1:7" ht="13.5">
      <c r="A259" s="97"/>
      <c r="B259" s="101"/>
      <c r="C259" s="97"/>
      <c r="D259" s="101"/>
      <c r="E259" s="99"/>
      <c r="F259" s="99"/>
      <c r="G259" s="100"/>
    </row>
    <row r="260" spans="1:7" ht="13.5">
      <c r="A260" s="97"/>
      <c r="B260" s="101"/>
      <c r="C260" s="97"/>
      <c r="D260" s="101"/>
      <c r="E260" s="99"/>
      <c r="F260" s="99"/>
      <c r="G260" s="100"/>
    </row>
    <row r="261" spans="1:7" ht="13.5">
      <c r="A261" s="97"/>
      <c r="B261" s="101"/>
      <c r="C261" s="97"/>
      <c r="D261" s="101"/>
      <c r="E261" s="99"/>
      <c r="F261" s="99"/>
      <c r="G261" s="100"/>
    </row>
    <row r="262" spans="1:7" ht="13.5">
      <c r="A262" s="97"/>
      <c r="B262" s="101"/>
      <c r="C262" s="97"/>
      <c r="D262" s="101"/>
      <c r="E262" s="99"/>
      <c r="F262" s="99"/>
      <c r="G262" s="100"/>
    </row>
    <row r="263" spans="1:7" ht="13.5">
      <c r="A263" s="97"/>
      <c r="B263" s="101"/>
      <c r="C263" s="97"/>
      <c r="D263" s="101"/>
      <c r="E263" s="99"/>
      <c r="F263" s="99"/>
      <c r="G263" s="100"/>
    </row>
    <row r="264" spans="1:7" ht="13.5">
      <c r="A264" s="97"/>
      <c r="B264" s="101"/>
      <c r="C264" s="97"/>
      <c r="D264" s="101"/>
      <c r="E264" s="99"/>
      <c r="F264" s="99"/>
      <c r="G264" s="100"/>
    </row>
    <row r="265" spans="1:7" ht="13.5">
      <c r="A265" s="97"/>
      <c r="B265" s="101"/>
      <c r="C265" s="97"/>
      <c r="D265" s="101"/>
      <c r="E265" s="99"/>
      <c r="F265" s="99"/>
      <c r="G265" s="100"/>
    </row>
    <row r="266" spans="1:7" ht="13.5">
      <c r="A266" s="97"/>
      <c r="B266" s="101"/>
      <c r="C266" s="97"/>
      <c r="D266" s="101"/>
      <c r="E266" s="99"/>
      <c r="F266" s="99"/>
      <c r="G266" s="100"/>
    </row>
    <row r="267" spans="1:7" ht="13.5">
      <c r="A267" s="97"/>
      <c r="B267" s="101"/>
      <c r="C267" s="97"/>
      <c r="D267" s="101"/>
      <c r="E267" s="99"/>
      <c r="F267" s="99"/>
      <c r="G267" s="100"/>
    </row>
    <row r="268" spans="1:7" ht="13.5">
      <c r="A268" s="97"/>
      <c r="B268" s="101"/>
      <c r="C268" s="97"/>
      <c r="D268" s="101"/>
      <c r="E268" s="99"/>
      <c r="F268" s="99"/>
      <c r="G268" s="100"/>
    </row>
    <row r="269" spans="1:7" ht="13.5">
      <c r="A269" s="97"/>
      <c r="B269" s="101"/>
      <c r="C269" s="97"/>
      <c r="D269" s="101"/>
      <c r="E269" s="99"/>
      <c r="F269" s="99"/>
      <c r="G269" s="100"/>
    </row>
    <row r="270" spans="1:7" ht="13.5">
      <c r="A270" s="97"/>
      <c r="B270" s="101"/>
      <c r="C270" s="97"/>
      <c r="D270" s="101"/>
      <c r="E270" s="99"/>
      <c r="F270" s="99"/>
      <c r="G270" s="100"/>
    </row>
    <row r="271" spans="1:7" ht="13.5">
      <c r="A271" s="97"/>
      <c r="B271" s="101"/>
      <c r="C271" s="97"/>
      <c r="D271" s="101"/>
      <c r="E271" s="99"/>
      <c r="F271" s="99"/>
      <c r="G271" s="100"/>
    </row>
    <row r="272" spans="1:7" ht="13.5">
      <c r="A272" s="97"/>
      <c r="B272" s="101"/>
      <c r="C272" s="97"/>
      <c r="D272" s="101"/>
      <c r="E272" s="99"/>
      <c r="F272" s="99"/>
      <c r="G272" s="100"/>
    </row>
    <row r="273" spans="1:7" ht="13.5">
      <c r="A273" s="97"/>
      <c r="B273" s="101"/>
      <c r="C273" s="97"/>
      <c r="D273" s="101"/>
      <c r="E273" s="99"/>
      <c r="F273" s="99"/>
      <c r="G273" s="100"/>
    </row>
    <row r="274" spans="1:7" ht="13.5">
      <c r="A274" s="97"/>
      <c r="B274" s="101"/>
      <c r="C274" s="97"/>
      <c r="D274" s="101"/>
      <c r="E274" s="99"/>
      <c r="F274" s="99"/>
      <c r="G274" s="100"/>
    </row>
    <row r="275" spans="1:7" ht="13.5">
      <c r="A275" s="97"/>
      <c r="B275" s="101"/>
      <c r="C275" s="97"/>
      <c r="D275" s="101"/>
      <c r="E275" s="99"/>
      <c r="F275" s="99"/>
      <c r="G275" s="100"/>
    </row>
    <row r="276" spans="1:7" ht="13.5">
      <c r="A276" s="97"/>
      <c r="B276" s="101"/>
      <c r="C276" s="97"/>
      <c r="D276" s="101"/>
      <c r="E276" s="99"/>
      <c r="F276" s="99"/>
      <c r="G276" s="100"/>
    </row>
    <row r="277" spans="1:7" ht="13.5">
      <c r="A277" s="97"/>
      <c r="B277" s="101"/>
      <c r="C277" s="97"/>
      <c r="D277" s="101"/>
      <c r="E277" s="99"/>
      <c r="F277" s="99"/>
      <c r="G277" s="100"/>
    </row>
    <row r="278" spans="1:7" ht="13.5">
      <c r="A278" s="97"/>
      <c r="B278" s="101"/>
      <c r="C278" s="97"/>
      <c r="D278" s="101"/>
      <c r="E278" s="99"/>
      <c r="F278" s="99"/>
      <c r="G278" s="100"/>
    </row>
    <row r="279" spans="1:7" ht="13.5">
      <c r="A279" s="97"/>
      <c r="B279" s="101"/>
      <c r="C279" s="97"/>
      <c r="D279" s="101"/>
      <c r="E279" s="99"/>
      <c r="F279" s="99"/>
      <c r="G279" s="100"/>
    </row>
    <row r="280" spans="1:7" ht="13.5">
      <c r="A280" s="97"/>
      <c r="B280" s="101"/>
      <c r="C280" s="97"/>
      <c r="D280" s="101"/>
      <c r="E280" s="99"/>
      <c r="F280" s="99"/>
      <c r="G280" s="100"/>
    </row>
    <row r="281" spans="1:7" ht="13.5">
      <c r="A281" s="83"/>
      <c r="B281" s="72"/>
      <c r="C281" s="83"/>
      <c r="D281" s="72"/>
      <c r="E281" s="99"/>
      <c r="F281" s="99"/>
      <c r="G281" s="84"/>
    </row>
    <row r="282" spans="1:7" ht="13.5">
      <c r="A282" s="83"/>
      <c r="B282" s="72"/>
      <c r="C282" s="83"/>
      <c r="D282" s="72"/>
      <c r="E282" s="99"/>
      <c r="F282" s="99"/>
      <c r="G282" s="84"/>
    </row>
    <row r="283" spans="1:7" ht="13.5">
      <c r="A283" s="83"/>
      <c r="B283" s="72"/>
      <c r="C283" s="83"/>
      <c r="D283" s="72"/>
      <c r="E283" s="99"/>
      <c r="F283" s="99"/>
      <c r="G283" s="84"/>
    </row>
    <row r="284" spans="1:7" ht="13.5">
      <c r="A284" s="83"/>
      <c r="B284" s="72"/>
      <c r="C284" s="83"/>
      <c r="D284" s="72"/>
      <c r="E284" s="99"/>
      <c r="F284" s="99"/>
      <c r="G284" s="84"/>
    </row>
    <row r="285" spans="1:7" ht="13.5">
      <c r="A285" s="83"/>
      <c r="B285" s="72"/>
      <c r="C285" s="83"/>
      <c r="D285" s="72"/>
      <c r="E285" s="99"/>
      <c r="F285" s="99"/>
      <c r="G285" s="84"/>
    </row>
    <row r="286" spans="1:7" ht="13.5">
      <c r="A286" s="83"/>
      <c r="B286" s="72"/>
      <c r="C286" s="83"/>
      <c r="D286" s="72"/>
      <c r="E286" s="99"/>
      <c r="F286" s="99"/>
      <c r="G286" s="84"/>
    </row>
    <row r="287" spans="1:7">
      <c r="A287" s="102"/>
      <c r="B287" s="102"/>
      <c r="C287" s="102"/>
      <c r="D287" s="102"/>
      <c r="E287" s="102"/>
      <c r="F287" s="102"/>
      <c r="G287" s="102"/>
    </row>
    <row r="288" spans="1:7">
      <c r="A288" s="290"/>
      <c r="B288" s="290"/>
      <c r="C288" s="290"/>
      <c r="D288" s="300"/>
      <c r="E288" s="300"/>
      <c r="F288" s="300"/>
      <c r="G288" s="300"/>
    </row>
    <row r="289" spans="1:7">
      <c r="A289" s="300"/>
      <c r="B289" s="300"/>
      <c r="C289" s="300"/>
      <c r="D289" s="300"/>
      <c r="E289" s="300"/>
      <c r="F289" s="300"/>
      <c r="G289" s="300"/>
    </row>
    <row r="290" spans="1:7">
      <c r="A290" s="102"/>
      <c r="B290" s="102"/>
      <c r="C290" s="102"/>
      <c r="D290" s="102"/>
      <c r="E290" s="102"/>
      <c r="F290" s="102"/>
      <c r="G290" s="102"/>
    </row>
    <row r="291" spans="1:7">
      <c r="A291" s="92"/>
      <c r="B291" s="93"/>
      <c r="C291" s="92"/>
      <c r="D291" s="93"/>
      <c r="E291" s="93"/>
      <c r="F291" s="93"/>
      <c r="G291" s="93"/>
    </row>
    <row r="292" spans="1:7">
      <c r="A292" s="103"/>
      <c r="B292" s="93"/>
      <c r="C292" s="103"/>
      <c r="D292" s="93"/>
      <c r="E292" s="93"/>
      <c r="F292" s="93"/>
      <c r="G292" s="93"/>
    </row>
    <row r="293" spans="1:7">
      <c r="A293" s="301"/>
      <c r="B293" s="301"/>
      <c r="C293" s="301"/>
      <c r="D293" s="301"/>
      <c r="E293" s="301"/>
      <c r="F293" s="301"/>
      <c r="G293" s="301"/>
    </row>
    <row r="294" spans="1:7">
      <c r="A294" s="102"/>
      <c r="B294" s="104"/>
      <c r="C294" s="102"/>
      <c r="D294" s="104"/>
      <c r="E294" s="102"/>
      <c r="F294" s="102"/>
      <c r="G294" s="102"/>
    </row>
    <row r="295" spans="1:7">
      <c r="A295" s="288"/>
      <c r="B295" s="288"/>
      <c r="C295" s="288"/>
      <c r="D295" s="288"/>
      <c r="E295" s="290"/>
      <c r="F295" s="289"/>
      <c r="G295" s="290"/>
    </row>
    <row r="296" spans="1:7" ht="23.25" customHeight="1">
      <c r="A296" s="288"/>
      <c r="B296" s="288"/>
      <c r="C296" s="288"/>
      <c r="D296" s="288"/>
      <c r="E296" s="289"/>
      <c r="F296" s="289"/>
      <c r="G296" s="289"/>
    </row>
    <row r="297" spans="1:7" ht="18" customHeight="1">
      <c r="A297" s="288"/>
      <c r="B297" s="288"/>
      <c r="C297" s="288"/>
      <c r="D297" s="288"/>
      <c r="E297" s="289"/>
      <c r="F297" s="289"/>
      <c r="G297" s="289"/>
    </row>
    <row r="298" spans="1:7">
      <c r="A298" s="102"/>
      <c r="B298" s="104"/>
      <c r="C298" s="102"/>
      <c r="D298" s="104"/>
      <c r="E298" s="102"/>
      <c r="F298" s="102"/>
      <c r="G298" s="102"/>
    </row>
    <row r="299" spans="1:7" ht="13.5">
      <c r="A299" s="83"/>
      <c r="B299" s="72"/>
      <c r="C299" s="83"/>
      <c r="D299" s="72"/>
      <c r="E299" s="84"/>
      <c r="F299" s="84"/>
      <c r="G299" s="84"/>
    </row>
    <row r="300" spans="1:7" ht="13.5">
      <c r="A300" s="83"/>
      <c r="B300" s="72"/>
      <c r="C300" s="83"/>
      <c r="D300" s="72"/>
      <c r="E300" s="84"/>
      <c r="F300" s="84"/>
      <c r="G300" s="84"/>
    </row>
    <row r="301" spans="1:7" ht="13.5">
      <c r="A301" s="83"/>
      <c r="B301" s="72"/>
      <c r="C301" s="83"/>
      <c r="D301" s="72"/>
      <c r="E301" s="84"/>
      <c r="F301" s="84"/>
      <c r="G301" s="84"/>
    </row>
    <row r="302" spans="1:7" ht="13.5">
      <c r="A302" s="83"/>
      <c r="B302" s="72"/>
      <c r="C302" s="83"/>
      <c r="D302" s="72"/>
      <c r="E302" s="84"/>
      <c r="F302" s="84"/>
      <c r="G302" s="84"/>
    </row>
    <row r="303" spans="1:7" ht="13.5">
      <c r="A303" s="83"/>
      <c r="B303" s="72"/>
      <c r="C303" s="83"/>
      <c r="D303" s="72"/>
      <c r="E303" s="84"/>
      <c r="F303" s="84"/>
      <c r="G303" s="84"/>
    </row>
    <row r="304" spans="1:7" ht="13.5">
      <c r="A304" s="83"/>
      <c r="B304" s="72"/>
      <c r="C304" s="83"/>
      <c r="D304" s="72"/>
      <c r="E304" s="84"/>
      <c r="F304" s="84"/>
      <c r="G304" s="84"/>
    </row>
    <row r="305" spans="1:7" ht="13.5">
      <c r="A305" s="83"/>
      <c r="B305" s="72"/>
      <c r="C305" s="83"/>
      <c r="D305" s="72"/>
      <c r="E305" s="84"/>
      <c r="F305" s="84"/>
      <c r="G305" s="84"/>
    </row>
    <row r="306" spans="1:7" ht="13.5">
      <c r="A306" s="83"/>
      <c r="B306" s="72"/>
      <c r="C306" s="83"/>
      <c r="D306" s="72"/>
      <c r="E306" s="84"/>
      <c r="F306" s="84"/>
      <c r="G306" s="84"/>
    </row>
    <row r="307" spans="1:7" ht="13.5">
      <c r="A307" s="83"/>
      <c r="B307" s="72"/>
      <c r="C307" s="83"/>
      <c r="D307" s="72"/>
      <c r="E307" s="84"/>
      <c r="F307" s="84"/>
      <c r="G307" s="84"/>
    </row>
    <row r="308" spans="1:7" ht="13.5">
      <c r="A308" s="83"/>
      <c r="B308" s="72"/>
      <c r="C308" s="83"/>
      <c r="D308" s="72"/>
      <c r="E308" s="84"/>
      <c r="F308" s="84"/>
      <c r="G308" s="84"/>
    </row>
    <row r="309" spans="1:7" ht="13.5">
      <c r="A309" s="83"/>
      <c r="B309" s="72"/>
      <c r="C309" s="83"/>
      <c r="D309" s="72"/>
      <c r="E309" s="84"/>
      <c r="F309" s="84"/>
      <c r="G309" s="84"/>
    </row>
    <row r="310" spans="1:7" ht="13.5">
      <c r="A310" s="83"/>
      <c r="B310" s="72"/>
      <c r="C310" s="83"/>
      <c r="D310" s="72"/>
      <c r="E310" s="84"/>
      <c r="F310" s="84"/>
      <c r="G310" s="84"/>
    </row>
    <row r="311" spans="1:7" ht="13.5">
      <c r="A311" s="83"/>
      <c r="B311" s="72"/>
      <c r="C311" s="83"/>
      <c r="D311" s="72"/>
      <c r="E311" s="84"/>
      <c r="F311" s="84"/>
      <c r="G311" s="84"/>
    </row>
    <row r="312" spans="1:7" ht="13.5">
      <c r="A312" s="83"/>
      <c r="B312" s="72"/>
      <c r="C312" s="83"/>
      <c r="D312" s="72"/>
      <c r="E312" s="84"/>
      <c r="F312" s="84"/>
      <c r="G312" s="84"/>
    </row>
    <row r="313" spans="1:7" ht="13.5">
      <c r="A313" s="83"/>
      <c r="B313" s="72"/>
      <c r="C313" s="83"/>
      <c r="D313" s="72"/>
      <c r="E313" s="84"/>
      <c r="F313" s="84"/>
      <c r="G313" s="84"/>
    </row>
    <row r="314" spans="1:7" ht="13.5">
      <c r="A314" s="83"/>
      <c r="B314" s="72"/>
      <c r="C314" s="83"/>
      <c r="D314" s="72"/>
      <c r="E314" s="84"/>
      <c r="F314" s="84"/>
      <c r="G314" s="84"/>
    </row>
    <row r="315" spans="1:7" ht="13.5">
      <c r="A315" s="83"/>
      <c r="B315" s="72"/>
      <c r="C315" s="83"/>
      <c r="D315" s="72"/>
      <c r="E315" s="84"/>
      <c r="F315" s="84"/>
      <c r="G315" s="84"/>
    </row>
    <row r="316" spans="1:7" ht="13.5">
      <c r="A316" s="83"/>
      <c r="B316" s="72"/>
      <c r="C316" s="83"/>
      <c r="D316" s="72"/>
      <c r="E316" s="84"/>
      <c r="F316" s="84"/>
      <c r="G316" s="84"/>
    </row>
    <row r="317" spans="1:7" ht="13.5">
      <c r="A317" s="83"/>
      <c r="B317" s="72"/>
      <c r="C317" s="83"/>
      <c r="D317" s="72"/>
      <c r="E317" s="84"/>
      <c r="F317" s="84"/>
      <c r="G317" s="84"/>
    </row>
    <row r="318" spans="1:7" ht="13.5">
      <c r="A318" s="105"/>
      <c r="B318" s="106"/>
      <c r="C318" s="105"/>
      <c r="D318" s="106"/>
      <c r="E318" s="85"/>
      <c r="F318" s="85"/>
      <c r="G318" s="85"/>
    </row>
    <row r="319" spans="1:7">
      <c r="A319" s="102"/>
      <c r="B319" s="102"/>
      <c r="C319" s="102"/>
      <c r="D319" s="102"/>
      <c r="E319" s="102"/>
      <c r="F319" s="102"/>
      <c r="G319" s="102"/>
    </row>
    <row r="320" spans="1:7">
      <c r="A320" s="102"/>
      <c r="B320" s="102"/>
      <c r="C320" s="102"/>
      <c r="D320" s="102"/>
      <c r="E320" s="102"/>
      <c r="F320" s="102"/>
      <c r="G320" s="102"/>
    </row>
    <row r="321" spans="1:7">
      <c r="A321" s="92"/>
      <c r="B321" s="93"/>
      <c r="C321" s="92"/>
      <c r="D321" s="93"/>
      <c r="E321" s="93"/>
      <c r="F321" s="93"/>
      <c r="G321" s="93"/>
    </row>
    <row r="322" spans="1:7">
      <c r="A322" s="103"/>
      <c r="B322" s="93"/>
      <c r="C322" s="103"/>
      <c r="D322" s="93"/>
      <c r="E322" s="93"/>
      <c r="F322" s="93"/>
      <c r="G322" s="93"/>
    </row>
    <row r="323" spans="1:7" ht="15.75">
      <c r="A323" s="102"/>
      <c r="B323" s="104"/>
      <c r="C323" s="102"/>
      <c r="D323" s="104"/>
      <c r="E323" s="102"/>
      <c r="F323" s="102"/>
      <c r="G323" s="94"/>
    </row>
    <row r="324" spans="1:7">
      <c r="A324" s="102"/>
      <c r="B324" s="104"/>
      <c r="C324" s="102"/>
      <c r="D324" s="104"/>
      <c r="E324" s="102"/>
      <c r="F324" s="102"/>
      <c r="G324" s="102"/>
    </row>
    <row r="325" spans="1:7">
      <c r="A325" s="288"/>
      <c r="B325" s="288"/>
      <c r="C325" s="288"/>
      <c r="D325" s="289"/>
      <c r="E325" s="290"/>
      <c r="F325" s="289"/>
      <c r="G325" s="290"/>
    </row>
    <row r="326" spans="1:7" ht="22.5" customHeight="1">
      <c r="A326" s="288"/>
      <c r="B326" s="288"/>
      <c r="C326" s="288"/>
      <c r="D326" s="289"/>
      <c r="E326" s="289"/>
      <c r="F326" s="289"/>
      <c r="G326" s="289"/>
    </row>
    <row r="327" spans="1:7" ht="19.5" customHeight="1">
      <c r="A327" s="288"/>
      <c r="B327" s="288"/>
      <c r="C327" s="288"/>
      <c r="D327" s="289"/>
      <c r="E327" s="289"/>
      <c r="F327" s="289"/>
      <c r="G327" s="289"/>
    </row>
    <row r="328" spans="1:7">
      <c r="A328" s="102"/>
      <c r="B328" s="104"/>
      <c r="C328" s="102"/>
      <c r="D328" s="104"/>
      <c r="E328" s="107"/>
      <c r="F328" s="107"/>
      <c r="G328" s="107"/>
    </row>
    <row r="329" spans="1:7" ht="13.5">
      <c r="A329" s="83"/>
      <c r="B329" s="72"/>
      <c r="C329" s="83"/>
      <c r="D329" s="72"/>
      <c r="E329" s="84"/>
      <c r="F329" s="84"/>
      <c r="G329" s="84"/>
    </row>
    <row r="330" spans="1:7" ht="13.5">
      <c r="A330" s="83"/>
      <c r="B330" s="72"/>
      <c r="C330" s="83"/>
      <c r="D330" s="72"/>
      <c r="E330" s="84"/>
      <c r="F330" s="84"/>
      <c r="G330" s="84"/>
    </row>
    <row r="331" spans="1:7" ht="13.5">
      <c r="A331" s="83"/>
      <c r="B331" s="72"/>
      <c r="C331" s="83"/>
      <c r="D331" s="72"/>
      <c r="E331" s="84"/>
      <c r="F331" s="84"/>
      <c r="G331" s="84"/>
    </row>
    <row r="332" spans="1:7" ht="13.5">
      <c r="A332" s="83"/>
      <c r="B332" s="72"/>
      <c r="C332" s="83"/>
      <c r="D332" s="72"/>
      <c r="E332" s="84"/>
      <c r="F332" s="84"/>
      <c r="G332" s="84"/>
    </row>
    <row r="333" spans="1:7" ht="13.5">
      <c r="A333" s="83"/>
      <c r="B333" s="72"/>
      <c r="C333" s="83"/>
      <c r="D333" s="72"/>
      <c r="E333" s="84"/>
      <c r="F333" s="84"/>
      <c r="G333" s="84"/>
    </row>
    <row r="334" spans="1:7" ht="13.5">
      <c r="A334" s="83"/>
      <c r="B334" s="72"/>
      <c r="C334" s="83"/>
      <c r="D334" s="72"/>
      <c r="E334" s="84"/>
      <c r="F334" s="84"/>
      <c r="G334" s="84"/>
    </row>
    <row r="335" spans="1:7" ht="13.5">
      <c r="A335" s="83"/>
      <c r="B335" s="72"/>
      <c r="C335" s="83"/>
      <c r="D335" s="72"/>
      <c r="E335" s="84"/>
      <c r="F335" s="84"/>
      <c r="G335" s="84"/>
    </row>
    <row r="336" spans="1:7" ht="13.5">
      <c r="A336" s="83"/>
      <c r="B336" s="72"/>
      <c r="C336" s="83"/>
      <c r="D336" s="72"/>
      <c r="E336" s="84"/>
      <c r="F336" s="84"/>
      <c r="G336" s="84"/>
    </row>
    <row r="337" spans="1:7" ht="13.5">
      <c r="A337" s="83"/>
      <c r="B337" s="72"/>
      <c r="C337" s="83"/>
      <c r="D337" s="72"/>
      <c r="E337" s="84"/>
      <c r="F337" s="84"/>
      <c r="G337" s="84"/>
    </row>
    <row r="338" spans="1:7" ht="13.5">
      <c r="A338" s="83"/>
      <c r="B338" s="72"/>
      <c r="C338" s="83"/>
      <c r="D338" s="72"/>
      <c r="E338" s="84"/>
      <c r="F338" s="84"/>
      <c r="G338" s="84"/>
    </row>
    <row r="339" spans="1:7" ht="13.5">
      <c r="A339" s="83"/>
      <c r="B339" s="72"/>
      <c r="C339" s="83"/>
      <c r="D339" s="72"/>
      <c r="E339" s="84"/>
      <c r="F339" s="84"/>
      <c r="G339" s="84"/>
    </row>
    <row r="340" spans="1:7" ht="13.5">
      <c r="A340" s="83"/>
      <c r="B340" s="72"/>
      <c r="C340" s="83"/>
      <c r="D340" s="72"/>
      <c r="E340" s="84"/>
      <c r="F340" s="84"/>
      <c r="G340" s="84"/>
    </row>
    <row r="341" spans="1:7" ht="13.5">
      <c r="A341" s="83"/>
      <c r="B341" s="72"/>
      <c r="C341" s="83"/>
      <c r="D341" s="72"/>
      <c r="E341" s="84"/>
      <c r="F341" s="84"/>
      <c r="G341" s="84"/>
    </row>
    <row r="342" spans="1:7" ht="13.5">
      <c r="A342" s="83"/>
      <c r="B342" s="72"/>
      <c r="C342" s="83"/>
      <c r="D342" s="72"/>
      <c r="E342" s="84"/>
      <c r="F342" s="84"/>
      <c r="G342" s="84"/>
    </row>
    <row r="343" spans="1:7" ht="13.5">
      <c r="A343" s="83"/>
      <c r="B343" s="72"/>
      <c r="C343" s="83"/>
      <c r="D343" s="72"/>
      <c r="E343" s="84"/>
      <c r="F343" s="84"/>
      <c r="G343" s="84"/>
    </row>
    <row r="344" spans="1:7" ht="13.5">
      <c r="A344" s="83"/>
      <c r="B344" s="72"/>
      <c r="C344" s="83"/>
      <c r="D344" s="72"/>
      <c r="E344" s="84"/>
      <c r="F344" s="84"/>
      <c r="G344" s="84"/>
    </row>
    <row r="345" spans="1:7" ht="13.5">
      <c r="A345" s="83"/>
      <c r="B345" s="72"/>
      <c r="C345" s="83"/>
      <c r="D345" s="72"/>
      <c r="E345" s="84"/>
      <c r="F345" s="84"/>
      <c r="G345" s="84"/>
    </row>
    <row r="346" spans="1:7" ht="13.5">
      <c r="A346" s="83"/>
      <c r="B346" s="72"/>
      <c r="C346" s="83"/>
      <c r="D346" s="72"/>
      <c r="E346" s="84"/>
      <c r="F346" s="84"/>
      <c r="G346" s="84"/>
    </row>
    <row r="347" spans="1:7" ht="13.5">
      <c r="A347" s="83"/>
      <c r="B347" s="72"/>
      <c r="C347" s="83"/>
      <c r="D347" s="72"/>
      <c r="E347" s="84"/>
      <c r="F347" s="84"/>
      <c r="G347" s="84"/>
    </row>
    <row r="348" spans="1:7" ht="13.5">
      <c r="A348" s="105"/>
      <c r="B348" s="108"/>
      <c r="C348" s="105"/>
      <c r="D348" s="108"/>
      <c r="E348" s="85"/>
      <c r="F348" s="85"/>
      <c r="G348" s="85"/>
    </row>
    <row r="349" spans="1:7">
      <c r="A349" s="102"/>
      <c r="B349" s="102"/>
      <c r="C349" s="102"/>
      <c r="D349" s="102"/>
      <c r="E349" s="102"/>
      <c r="F349" s="102"/>
      <c r="G349" s="102"/>
    </row>
    <row r="350" spans="1:7">
      <c r="A350" s="102"/>
      <c r="B350" s="102"/>
      <c r="C350" s="102"/>
      <c r="D350" s="102"/>
      <c r="E350" s="102"/>
      <c r="F350" s="102"/>
      <c r="G350" s="102"/>
    </row>
    <row r="351" spans="1:7">
      <c r="A351" s="102"/>
      <c r="B351" s="102"/>
      <c r="C351" s="102"/>
      <c r="D351" s="102"/>
      <c r="E351" s="102"/>
      <c r="F351" s="102"/>
      <c r="G351" s="102"/>
    </row>
    <row r="352" spans="1:7">
      <c r="A352" s="102"/>
      <c r="B352" s="102"/>
      <c r="C352" s="102"/>
      <c r="D352" s="102"/>
      <c r="E352" s="102"/>
      <c r="F352" s="102"/>
      <c r="G352" s="102"/>
    </row>
    <row r="353" spans="1:7">
      <c r="A353" s="102"/>
      <c r="B353" s="102"/>
      <c r="C353" s="102"/>
      <c r="D353" s="102"/>
      <c r="E353" s="102"/>
      <c r="F353" s="102"/>
      <c r="G353" s="102"/>
    </row>
    <row r="354" spans="1:7">
      <c r="A354" s="102"/>
      <c r="B354" s="102"/>
      <c r="C354" s="102"/>
      <c r="D354" s="102"/>
      <c r="E354" s="102"/>
      <c r="F354" s="102"/>
      <c r="G354" s="102"/>
    </row>
    <row r="355" spans="1:7">
      <c r="A355" s="102"/>
      <c r="B355" s="102"/>
      <c r="C355" s="102"/>
      <c r="D355" s="102"/>
      <c r="E355" s="102"/>
      <c r="F355" s="102"/>
      <c r="G355" s="102"/>
    </row>
  </sheetData>
  <sheetProtection password="9596" sheet="1" scenarios="1" insertHyperlinks="0" selectLockedCells="1"/>
  <mergeCells count="32">
    <mergeCell ref="C49:J49"/>
    <mergeCell ref="A2:J2"/>
    <mergeCell ref="C5:J5"/>
    <mergeCell ref="C6:J6"/>
    <mergeCell ref="A9:D10"/>
    <mergeCell ref="A46:J46"/>
    <mergeCell ref="C173:J173"/>
    <mergeCell ref="C50:J50"/>
    <mergeCell ref="A53:D54"/>
    <mergeCell ref="A88:J88"/>
    <mergeCell ref="C91:J91"/>
    <mergeCell ref="C92:J92"/>
    <mergeCell ref="A95:D96"/>
    <mergeCell ref="A132:J132"/>
    <mergeCell ref="C135:J135"/>
    <mergeCell ref="C136:J136"/>
    <mergeCell ref="A139:D140"/>
    <mergeCell ref="A170:J170"/>
    <mergeCell ref="A325:D327"/>
    <mergeCell ref="E325:F327"/>
    <mergeCell ref="G325:G327"/>
    <mergeCell ref="C174:J174"/>
    <mergeCell ref="A177:D178"/>
    <mergeCell ref="A207:J207"/>
    <mergeCell ref="C210:J210"/>
    <mergeCell ref="C211:J211"/>
    <mergeCell ref="A214:D215"/>
    <mergeCell ref="A288:G289"/>
    <mergeCell ref="A293:G293"/>
    <mergeCell ref="A295:D297"/>
    <mergeCell ref="E295:F297"/>
    <mergeCell ref="G295:G297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9"/>
  <sheetViews>
    <sheetView showGridLines="0" workbookViewId="0">
      <selection activeCell="B8" sqref="B8"/>
    </sheetView>
  </sheetViews>
  <sheetFormatPr defaultRowHeight="12.75"/>
  <cols>
    <col min="1" max="1" width="9.140625" style="114"/>
    <col min="2" max="2" width="63.140625" style="114" bestFit="1" customWidth="1"/>
    <col min="3" max="3" width="14.7109375" style="114" customWidth="1"/>
    <col min="4" max="4" width="15.5703125" style="114" customWidth="1"/>
    <col min="5" max="16384" width="9.140625" style="114"/>
  </cols>
  <sheetData>
    <row r="1" spans="2:4" ht="46.5" customHeight="1"/>
    <row r="2" spans="2:4" ht="19.5">
      <c r="B2" s="115" t="s">
        <v>53</v>
      </c>
    </row>
    <row r="4" spans="2:4" ht="13.5" thickBot="1"/>
    <row r="5" spans="2:4" ht="18.75" customHeight="1" thickBot="1">
      <c r="B5" s="116" t="s">
        <v>54</v>
      </c>
      <c r="C5" s="117" t="s">
        <v>55</v>
      </c>
      <c r="D5" s="118" t="s">
        <v>56</v>
      </c>
    </row>
    <row r="6" spans="2:4" ht="21.75" customHeight="1">
      <c r="B6" s="119" t="s">
        <v>57</v>
      </c>
      <c r="C6" s="120">
        <v>0.11</v>
      </c>
      <c r="D6" s="121">
        <v>0</v>
      </c>
    </row>
    <row r="7" spans="2:4" ht="21.75" customHeight="1">
      <c r="B7" s="122" t="s">
        <v>58</v>
      </c>
      <c r="C7" s="123">
        <v>0.11</v>
      </c>
      <c r="D7" s="124">
        <v>0</v>
      </c>
    </row>
    <row r="8" spans="2:4" ht="21.75" customHeight="1">
      <c r="B8" s="122" t="s">
        <v>59</v>
      </c>
      <c r="C8" s="123">
        <v>0.1</v>
      </c>
      <c r="D8" s="124">
        <v>0.21249999999999999</v>
      </c>
    </row>
    <row r="9" spans="2:4" ht="21.75" customHeight="1">
      <c r="B9" s="122" t="s">
        <v>60</v>
      </c>
      <c r="C9" s="123">
        <v>0.11</v>
      </c>
      <c r="D9" s="124">
        <v>0.23749999999999999</v>
      </c>
    </row>
    <row r="10" spans="2:4" ht="21.75" customHeight="1">
      <c r="B10" s="122" t="s">
        <v>61</v>
      </c>
      <c r="C10" s="123">
        <v>0.11</v>
      </c>
      <c r="D10" s="124">
        <v>0.23749999999999999</v>
      </c>
    </row>
    <row r="11" spans="2:4" ht="21.75" customHeight="1">
      <c r="B11" s="122" t="s">
        <v>62</v>
      </c>
      <c r="C11" s="123">
        <v>0.11</v>
      </c>
      <c r="D11" s="124">
        <v>0.125</v>
      </c>
    </row>
    <row r="12" spans="2:4" ht="21.75" customHeight="1">
      <c r="B12" s="122"/>
      <c r="C12" s="123"/>
      <c r="D12" s="124"/>
    </row>
    <row r="13" spans="2:4" ht="21.75" customHeight="1">
      <c r="B13" s="122"/>
      <c r="C13" s="123"/>
      <c r="D13" s="124"/>
    </row>
    <row r="14" spans="2:4" ht="21.75" customHeight="1">
      <c r="B14" s="122"/>
      <c r="C14" s="123"/>
      <c r="D14" s="124"/>
    </row>
    <row r="15" spans="2:4" ht="21.75" customHeight="1">
      <c r="B15" s="122"/>
      <c r="C15" s="123"/>
      <c r="D15" s="124"/>
    </row>
    <row r="16" spans="2:4" ht="21.75" customHeight="1">
      <c r="B16" s="122"/>
      <c r="C16" s="123"/>
      <c r="D16" s="124"/>
    </row>
    <row r="17" spans="2:4" ht="21.75" customHeight="1">
      <c r="B17" s="122"/>
      <c r="C17" s="123"/>
      <c r="D17" s="124"/>
    </row>
    <row r="18" spans="2:4" ht="21.75" customHeight="1">
      <c r="B18" s="122"/>
      <c r="C18" s="123"/>
      <c r="D18" s="124"/>
    </row>
    <row r="19" spans="2:4" ht="21.75" customHeight="1">
      <c r="B19" s="122"/>
      <c r="C19" s="123"/>
      <c r="D19" s="124"/>
    </row>
    <row r="20" spans="2:4" ht="21.75" customHeight="1">
      <c r="B20" s="122"/>
      <c r="C20" s="123"/>
      <c r="D20" s="124"/>
    </row>
    <row r="21" spans="2:4" ht="21.75" customHeight="1">
      <c r="B21" s="122"/>
      <c r="C21" s="123"/>
      <c r="D21" s="124"/>
    </row>
    <row r="22" spans="2:4" ht="24" customHeight="1" thickBot="1">
      <c r="B22" s="125"/>
      <c r="C22" s="126"/>
      <c r="D22" s="127"/>
    </row>
    <row r="23" spans="2:4" ht="18.75" customHeight="1"/>
    <row r="27" spans="2:4" ht="18.75" customHeight="1"/>
    <row r="31" spans="2:4" ht="18.75" customHeight="1"/>
    <row r="35" ht="18.75" customHeight="1"/>
    <row r="39" ht="18.75" customHeight="1"/>
  </sheetData>
  <sheetProtection password="9596" sheet="1" scenarios="1" insertHyperlinks="0" selectLockedCells="1"/>
  <pageMargins left="0.39" right="0.2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Cálculos</vt:lpstr>
      <vt:lpstr>Recibo</vt:lpstr>
      <vt:lpstr>Tabelas Ret.IRS</vt:lpstr>
      <vt:lpstr>Tx.Contributiva Seg.Social</vt:lpstr>
      <vt:lpstr>Cálculos!Print_Area</vt:lpstr>
      <vt:lpstr>'Tx.Contributiva Seg.Social'!Print_Area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Proiete</dc:creator>
  <cp:lastModifiedBy>Maria Proiete</cp:lastModifiedBy>
  <cp:lastPrinted>2009-11-01T19:37:07Z</cp:lastPrinted>
  <dcterms:created xsi:type="dcterms:W3CDTF">2009-10-30T17:09:05Z</dcterms:created>
  <dcterms:modified xsi:type="dcterms:W3CDTF">2009-11-10T10:22:58Z</dcterms:modified>
</cp:coreProperties>
</file>